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codeName="ThisWorkbook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Mesa County FML\Desktop\MCFMLD\Financials\Budget\2024 Budget\"/>
    </mc:Choice>
  </mc:AlternateContent>
  <xr:revisionPtr revIDLastSave="0" documentId="13_ncr:1_{FEB6E317-C7DF-4682-BBE8-B11273FEFDB2}" xr6:coauthVersionLast="47" xr6:coauthVersionMax="47" xr10:uidLastSave="{00000000-0000-0000-0000-000000000000}"/>
  <bookViews>
    <workbookView xWindow="-108" yWindow="-108" windowWidth="23256" windowHeight="12576" tabRatio="605" xr2:uid="{00000000-000D-0000-FFFF-FFFF00000000}"/>
  </bookViews>
  <sheets>
    <sheet name="Budget 2024" sheetId="3" r:id="rId1"/>
    <sheet name="Historical Financials + Budgets" sheetId="1" r:id="rId2"/>
    <sheet name="1.1.22 - 9.23.22 GL" sheetId="16" state="hidden" r:id="rId3"/>
    <sheet name="10.1.21 - 12.31.21 GL" sheetId="17" state="hidden" r:id="rId4"/>
    <sheet name="1.1.23 - 9.25.23 GL" sheetId="18" state="hidden" r:id="rId5"/>
    <sheet name="10.1.22 - 12.31.22 GL" sheetId="19" state="hidden" r:id="rId6"/>
    <sheet name=" Notes" sheetId="6" state="hidden" r:id="rId7"/>
    <sheet name="2024 Budget Notes" sheetId="21" state="hidden" r:id="rId8"/>
  </sheets>
  <definedNames>
    <definedName name="_xlnm.Print_Area" localSheetId="0">'Budget 2024'!$A$1:$H$42</definedName>
    <definedName name="_xlnm.Print_Area" localSheetId="1">'Historical Financials + Budgets'!$A$2:$AX$40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39" i="3" l="1"/>
  <c r="N38" i="3"/>
  <c r="L38" i="3"/>
  <c r="N34" i="3"/>
  <c r="N33" i="3"/>
  <c r="L29" i="3"/>
  <c r="N28" i="3"/>
  <c r="N27" i="3"/>
  <c r="N22" i="3"/>
  <c r="N23" i="3"/>
  <c r="N24" i="3"/>
  <c r="N25" i="3"/>
  <c r="N26" i="3"/>
  <c r="N21" i="3"/>
  <c r="N17" i="3"/>
  <c r="N18" i="3"/>
  <c r="N29" i="3" s="1"/>
  <c r="N19" i="3"/>
  <c r="N16" i="3"/>
  <c r="N12" i="3"/>
  <c r="L13" i="3"/>
  <c r="N13" i="3"/>
  <c r="N9" i="3"/>
  <c r="N8" i="3"/>
  <c r="AV38" i="1"/>
  <c r="AW38" i="1"/>
  <c r="AW37" i="1"/>
  <c r="AV37" i="1"/>
  <c r="AW35" i="1"/>
  <c r="AW34" i="1"/>
  <c r="AW33" i="1"/>
  <c r="AW30" i="1"/>
  <c r="AV30" i="1"/>
  <c r="AW20" i="1"/>
  <c r="AW18" i="1"/>
  <c r="AW17" i="1"/>
  <c r="AW14" i="1"/>
  <c r="AV14" i="1"/>
  <c r="AW13" i="1"/>
  <c r="AW9" i="1"/>
  <c r="AW8" i="1"/>
  <c r="AV13" i="1"/>
  <c r="AV9" i="1"/>
  <c r="AV8" i="1"/>
  <c r="N35" i="3"/>
  <c r="N20" i="3"/>
  <c r="L12" i="3"/>
  <c r="U38" i="21"/>
  <c r="U39" i="21" s="1"/>
  <c r="K22" i="21" s="1"/>
  <c r="K25" i="21" s="1"/>
  <c r="AV42" i="1" s="1"/>
  <c r="M148" i="18"/>
  <c r="AT22" i="1"/>
  <c r="J21" i="3" s="1"/>
  <c r="AT20" i="1"/>
  <c r="J19" i="3" s="1"/>
  <c r="AT18" i="1"/>
  <c r="J17" i="3" s="1"/>
  <c r="AT34" i="1"/>
  <c r="J34" i="3" s="1"/>
  <c r="M143" i="18"/>
  <c r="M133" i="18"/>
  <c r="M105" i="18"/>
  <c r="M104" i="18"/>
  <c r="M100" i="18"/>
  <c r="M99" i="18"/>
  <c r="M70" i="18"/>
  <c r="M69" i="18"/>
  <c r="M59" i="18"/>
  <c r="M58" i="18"/>
  <c r="M54" i="18"/>
  <c r="M55" i="18"/>
  <c r="M67" i="16"/>
  <c r="J28" i="3"/>
  <c r="J20" i="3"/>
  <c r="J22" i="3"/>
  <c r="J23" i="3"/>
  <c r="J24" i="3"/>
  <c r="J25" i="3"/>
  <c r="J12" i="3"/>
  <c r="J13" i="3" s="1"/>
  <c r="L34" i="3"/>
  <c r="L33" i="3"/>
  <c r="L28" i="3"/>
  <c r="L17" i="3"/>
  <c r="L19" i="3"/>
  <c r="L20" i="3"/>
  <c r="L21" i="3"/>
  <c r="L22" i="3"/>
  <c r="L23" i="3"/>
  <c r="L24" i="3"/>
  <c r="L25" i="3"/>
  <c r="L26" i="3"/>
  <c r="L27" i="3"/>
  <c r="AV35" i="1"/>
  <c r="AT28" i="1"/>
  <c r="J27" i="3" s="1"/>
  <c r="J26" i="3"/>
  <c r="AZ18" i="1"/>
  <c r="AT14" i="1"/>
  <c r="I21" i="3"/>
  <c r="AX20" i="1"/>
  <c r="AX15" i="1"/>
  <c r="AS17" i="1"/>
  <c r="AV17" i="1" s="1"/>
  <c r="AX22" i="1" l="1"/>
  <c r="M144" i="18"/>
  <c r="AT33" i="1" s="1"/>
  <c r="AT35" i="1" s="1"/>
  <c r="M106" i="18"/>
  <c r="M71" i="18"/>
  <c r="M60" i="18"/>
  <c r="M101" i="18"/>
  <c r="M109" i="18" s="1"/>
  <c r="AT17" i="1" s="1"/>
  <c r="J16" i="3" s="1"/>
  <c r="M56" i="18"/>
  <c r="L16" i="3"/>
  <c r="L35" i="3"/>
  <c r="AS33" i="1"/>
  <c r="I33" i="3" s="1"/>
  <c r="I28" i="3"/>
  <c r="I20" i="3"/>
  <c r="I22" i="3"/>
  <c r="I23" i="3"/>
  <c r="I24" i="3"/>
  <c r="I27" i="3"/>
  <c r="I16" i="3"/>
  <c r="K37" i="6"/>
  <c r="K38" i="6" s="1"/>
  <c r="E28" i="6" s="1"/>
  <c r="E31" i="6" s="1"/>
  <c r="AS13" i="1" s="1"/>
  <c r="AQ28" i="1"/>
  <c r="AQ22" i="1"/>
  <c r="AS20" i="1"/>
  <c r="I19" i="3" s="1"/>
  <c r="AS18" i="1"/>
  <c r="I17" i="3" s="1"/>
  <c r="J33" i="3" l="1"/>
  <c r="J35" i="3" s="1"/>
  <c r="M74" i="18"/>
  <c r="AT19" i="1" s="1"/>
  <c r="J18" i="3" s="1"/>
  <c r="J29" i="3" s="1"/>
  <c r="I12" i="3"/>
  <c r="AT30" i="1" l="1"/>
  <c r="AS27" i="1"/>
  <c r="AQ27" i="1"/>
  <c r="AS26" i="1" s="1"/>
  <c r="I25" i="3" s="1"/>
  <c r="G27" i="3"/>
  <c r="G25" i="3"/>
  <c r="G21" i="3"/>
  <c r="M162" i="16"/>
  <c r="AQ34" i="1" s="1"/>
  <c r="G34" i="3" s="1"/>
  <c r="M157" i="16"/>
  <c r="M147" i="16"/>
  <c r="AQ20" i="1"/>
  <c r="G19" i="3" s="1"/>
  <c r="M86" i="16"/>
  <c r="M85" i="16"/>
  <c r="M74" i="16"/>
  <c r="M73" i="16"/>
  <c r="M68" i="16"/>
  <c r="AQ18" i="1"/>
  <c r="G17" i="3" s="1"/>
  <c r="M122" i="16"/>
  <c r="M121" i="16"/>
  <c r="M117" i="16"/>
  <c r="M116" i="16"/>
  <c r="G28" i="3"/>
  <c r="G24" i="3"/>
  <c r="G20" i="3"/>
  <c r="G22" i="3"/>
  <c r="G23" i="3"/>
  <c r="G12" i="3"/>
  <c r="G13" i="3" s="1"/>
  <c r="AN33" i="1"/>
  <c r="AS35" i="1"/>
  <c r="AS14" i="1"/>
  <c r="AQ14" i="1"/>
  <c r="I13" i="3"/>
  <c r="F25" i="3"/>
  <c r="F34" i="3"/>
  <c r="F33" i="3"/>
  <c r="G26" i="3" l="1"/>
  <c r="M118" i="16"/>
  <c r="M75" i="16"/>
  <c r="M87" i="16"/>
  <c r="M123" i="16"/>
  <c r="M69" i="16"/>
  <c r="AQ33" i="1"/>
  <c r="AQ35" i="1" s="1"/>
  <c r="I26" i="3"/>
  <c r="AN35" i="1"/>
  <c r="I35" i="3"/>
  <c r="AP13" i="1"/>
  <c r="F12" i="3" s="1"/>
  <c r="AL19" i="1"/>
  <c r="M89" i="16" l="1"/>
  <c r="M125" i="16"/>
  <c r="AQ17" i="1" s="1"/>
  <c r="G16" i="3" s="1"/>
  <c r="G33" i="3"/>
  <c r="G35" i="3" s="1"/>
  <c r="AP14" i="1"/>
  <c r="F28" i="3"/>
  <c r="F17" i="3"/>
  <c r="F19" i="3"/>
  <c r="F20" i="3"/>
  <c r="F21" i="3"/>
  <c r="F22" i="3"/>
  <c r="F23" i="3"/>
  <c r="F24" i="3"/>
  <c r="F26" i="3"/>
  <c r="F27" i="3"/>
  <c r="F16" i="3"/>
  <c r="D12" i="3"/>
  <c r="D13" i="3" s="1"/>
  <c r="C34" i="3"/>
  <c r="C33" i="3"/>
  <c r="D28" i="3"/>
  <c r="D20" i="3"/>
  <c r="D21" i="3"/>
  <c r="D22" i="3"/>
  <c r="D23" i="3"/>
  <c r="D24" i="3"/>
  <c r="D25" i="3"/>
  <c r="D26" i="3"/>
  <c r="D27" i="3"/>
  <c r="C28" i="3"/>
  <c r="C17" i="3"/>
  <c r="C18" i="3"/>
  <c r="C19" i="3"/>
  <c r="C20" i="3"/>
  <c r="C21" i="3"/>
  <c r="C22" i="3"/>
  <c r="C23" i="3"/>
  <c r="C24" i="3"/>
  <c r="C25" i="3"/>
  <c r="C26" i="3"/>
  <c r="C27" i="3"/>
  <c r="C16" i="3"/>
  <c r="C12" i="3"/>
  <c r="C13" i="3" s="1"/>
  <c r="AJ30" i="1"/>
  <c r="AP35" i="1"/>
  <c r="AP19" i="1"/>
  <c r="AS19" i="1" s="1"/>
  <c r="AV19" i="1" s="1"/>
  <c r="D34" i="3"/>
  <c r="D33" i="3"/>
  <c r="D19" i="3"/>
  <c r="D17" i="3"/>
  <c r="AN14" i="1"/>
  <c r="L18" i="3" l="1"/>
  <c r="AQ19" i="1"/>
  <c r="G18" i="3" s="1"/>
  <c r="G29" i="3" s="1"/>
  <c r="M90" i="16"/>
  <c r="F18" i="3"/>
  <c r="F29" i="3" s="1"/>
  <c r="AS30" i="1"/>
  <c r="AP30" i="1"/>
  <c r="C35" i="3"/>
  <c r="D18" i="3"/>
  <c r="F13" i="3"/>
  <c r="AQ30" i="1" l="1"/>
  <c r="I18" i="3"/>
  <c r="I29" i="3" s="1"/>
  <c r="AN30" i="1"/>
  <c r="D16" i="3"/>
  <c r="AF14" i="1"/>
  <c r="C29" i="3" l="1"/>
  <c r="D35" i="3" l="1"/>
  <c r="AF2" i="1"/>
  <c r="AF33" i="1"/>
  <c r="AF35" i="1" s="1"/>
  <c r="AL30" i="1" l="1"/>
  <c r="AL35" i="1"/>
  <c r="AJ35" i="1"/>
  <c r="AJ14" i="1"/>
  <c r="AL14" i="1" l="1"/>
  <c r="AD35" i="1"/>
  <c r="AD30" i="1"/>
  <c r="AD14" i="1"/>
  <c r="AF27" i="1"/>
  <c r="AF30" i="1" l="1"/>
  <c r="D29" i="3" l="1"/>
  <c r="Z29" i="1"/>
  <c r="AB33" i="1" l="1"/>
  <c r="F35" i="3" l="1"/>
  <c r="AH35" i="1" l="1"/>
  <c r="AH30" i="1"/>
  <c r="AB14" i="1"/>
  <c r="AB35" i="1" l="1"/>
  <c r="AB38" i="1" s="1"/>
  <c r="AF9" i="1" s="1"/>
  <c r="AF38" i="1" s="1"/>
  <c r="AD9" i="1" l="1"/>
  <c r="AH14" i="1"/>
  <c r="AB30" i="1"/>
  <c r="AD38" i="1" l="1"/>
  <c r="AH9" i="1"/>
  <c r="AJ9" i="1" l="1"/>
  <c r="AJ38" i="1" s="1"/>
  <c r="X19" i="1"/>
  <c r="AL9" i="1" l="1"/>
  <c r="AN9" i="1"/>
  <c r="AH38" i="1"/>
  <c r="X38" i="1"/>
  <c r="AN38" i="1" l="1"/>
  <c r="D9" i="3"/>
  <c r="AL38" i="1"/>
  <c r="C39" i="3" s="1"/>
  <c r="C9" i="3"/>
  <c r="X30" i="1"/>
  <c r="AP9" i="1" l="1"/>
  <c r="F9" i="3" s="1"/>
  <c r="AQ9" i="1"/>
  <c r="D39" i="3"/>
  <c r="A9" i="3"/>
  <c r="X14" i="1"/>
  <c r="X37" i="1" s="1"/>
  <c r="AB8" i="1" s="1"/>
  <c r="C14" i="1"/>
  <c r="C19" i="1"/>
  <c r="C30" i="1" s="1"/>
  <c r="F14" i="1"/>
  <c r="F19" i="1"/>
  <c r="F30" i="1" s="1"/>
  <c r="I14" i="1"/>
  <c r="I30" i="1"/>
  <c r="M14" i="1"/>
  <c r="M30" i="1"/>
  <c r="Q14" i="1"/>
  <c r="Q17" i="1"/>
  <c r="Q19" i="1"/>
  <c r="Q21" i="1"/>
  <c r="U14" i="1"/>
  <c r="U26" i="1"/>
  <c r="U30" i="1" s="1"/>
  <c r="W13" i="1"/>
  <c r="W29" i="1" s="1"/>
  <c r="W27" i="1"/>
  <c r="S13" i="1"/>
  <c r="S14" i="1" s="1"/>
  <c r="S27" i="1"/>
  <c r="P37" i="1"/>
  <c r="O14" i="1"/>
  <c r="O30" i="1"/>
  <c r="K14" i="1"/>
  <c r="K30" i="1"/>
  <c r="H14" i="1"/>
  <c r="H30" i="1"/>
  <c r="E14" i="1"/>
  <c r="E30" i="1"/>
  <c r="B30" i="1"/>
  <c r="B14" i="1"/>
  <c r="C37" i="1" l="1"/>
  <c r="F8" i="1" s="1"/>
  <c r="E37" i="1" s="1"/>
  <c r="AQ38" i="1"/>
  <c r="G9" i="3"/>
  <c r="AP38" i="1"/>
  <c r="F39" i="3" s="1"/>
  <c r="W14" i="1"/>
  <c r="H37" i="1"/>
  <c r="AB37" i="1"/>
  <c r="AF8" i="1" s="1"/>
  <c r="AF37" i="1" s="1"/>
  <c r="AJ8" i="1" s="1"/>
  <c r="AJ37" i="1" s="1"/>
  <c r="O37" i="1"/>
  <c r="B37" i="1"/>
  <c r="K37" i="1"/>
  <c r="S29" i="1"/>
  <c r="S30" i="1" s="1"/>
  <c r="Q30" i="1"/>
  <c r="W30" i="1"/>
  <c r="AT9" i="1" l="1"/>
  <c r="AT38" i="1" s="1"/>
  <c r="AS9" i="1"/>
  <c r="E8" i="1"/>
  <c r="F37" i="1"/>
  <c r="I8" i="1" s="1"/>
  <c r="I37" i="1" s="1"/>
  <c r="M8" i="1" s="1"/>
  <c r="M37" i="1" s="1"/>
  <c r="Q8" i="1" s="1"/>
  <c r="Q37" i="1" s="1"/>
  <c r="U8" i="1" s="1"/>
  <c r="U37" i="1" s="1"/>
  <c r="W8" i="1" s="1"/>
  <c r="AN8" i="1"/>
  <c r="AL8" i="1"/>
  <c r="C8" i="3" s="1"/>
  <c r="G39" i="3"/>
  <c r="AD8" i="1"/>
  <c r="J9" i="3" l="1"/>
  <c r="AS38" i="1"/>
  <c r="I39" i="3" s="1"/>
  <c r="I9" i="3"/>
  <c r="AN37" i="1"/>
  <c r="D8" i="3"/>
  <c r="S8" i="1"/>
  <c r="S37" i="1" s="1"/>
  <c r="AD37" i="1"/>
  <c r="W37" i="1"/>
  <c r="J39" i="3" l="1"/>
  <c r="AQ8" i="1"/>
  <c r="G8" i="3" s="1"/>
  <c r="AP8" i="1"/>
  <c r="F8" i="3" s="1"/>
  <c r="AH8" i="1"/>
  <c r="AH37" i="1" s="1"/>
  <c r="L9" i="3" l="1"/>
  <c r="L39" i="3"/>
  <c r="AQ37" i="1"/>
  <c r="AS8" i="1" s="1"/>
  <c r="AL37" i="1"/>
  <c r="I8" i="3" l="1"/>
  <c r="AT8" i="1"/>
  <c r="G38" i="3"/>
  <c r="C38" i="3"/>
  <c r="J8" i="3" l="1"/>
  <c r="AT37" i="1"/>
  <c r="AS37" i="1"/>
  <c r="I38" i="3" s="1"/>
  <c r="D38" i="3"/>
  <c r="AP37" i="1"/>
  <c r="F38" i="3" s="1"/>
  <c r="J38" i="3" l="1"/>
  <c r="L8" i="3"/>
  <c r="AV44" i="1" l="1"/>
</calcChain>
</file>

<file path=xl/sharedStrings.xml><?xml version="1.0" encoding="utf-8"?>
<sst xmlns="http://schemas.openxmlformats.org/spreadsheetml/2006/main" count="1949" uniqueCount="279">
  <si>
    <t>Total Revenue</t>
  </si>
  <si>
    <t xml:space="preserve">Administrative </t>
  </si>
  <si>
    <t>Audit</t>
  </si>
  <si>
    <t>Contract labor</t>
  </si>
  <si>
    <t xml:space="preserve">Advertising </t>
  </si>
  <si>
    <t>Insurance</t>
  </si>
  <si>
    <t>Federal Mineral Lease Receipt</t>
  </si>
  <si>
    <t xml:space="preserve"> Actual </t>
  </si>
  <si>
    <t xml:space="preserve">  Budget</t>
  </si>
  <si>
    <t xml:space="preserve">Revenue </t>
  </si>
  <si>
    <t>Expenditures</t>
  </si>
  <si>
    <t>Estimated Beginning Fund Balance</t>
  </si>
  <si>
    <t>Estimated Ending Fund Balance</t>
  </si>
  <si>
    <t>Grants-approved and paid</t>
  </si>
  <si>
    <t>Grants-approved but unpaid</t>
  </si>
  <si>
    <t>Grants</t>
  </si>
  <si>
    <t>Budget</t>
  </si>
  <si>
    <t>Acutal</t>
  </si>
  <si>
    <t xml:space="preserve">Mesa County Federal Mineral Lease District </t>
  </si>
  <si>
    <t>Colorado of State Planning and Budget</t>
  </si>
  <si>
    <t>Quarterly forecast</t>
  </si>
  <si>
    <t>From Eleanor Thomas at Mesa County</t>
  </si>
  <si>
    <t>Colorado Legislative Council - economic forecast quarterly</t>
  </si>
  <si>
    <t>Actuals</t>
  </si>
  <si>
    <t>Grants-To be awarded next year</t>
  </si>
  <si>
    <t>Cash expected</t>
  </si>
  <si>
    <t>Contributions to Permanent Fund</t>
  </si>
  <si>
    <t>Change in Revenue for next year</t>
  </si>
  <si>
    <t>Average</t>
  </si>
  <si>
    <t>Estimated Ending Permanent Fund Balance</t>
  </si>
  <si>
    <t>Estimated Beginning Permanent Fund Balance</t>
  </si>
  <si>
    <t>Total Expenditures (Appropriations)</t>
  </si>
  <si>
    <t>Other Income &amp; Expenditures</t>
  </si>
  <si>
    <t>Dividends &amp; Capital Gains</t>
  </si>
  <si>
    <t>Investment Fees</t>
  </si>
  <si>
    <t>Total Other Income &amp; Expenditures</t>
  </si>
  <si>
    <t>CGA Forecast</t>
  </si>
  <si>
    <t>CODR</t>
  </si>
  <si>
    <t>Anvil Points Disbursement</t>
  </si>
  <si>
    <t>MCFMLD</t>
  </si>
  <si>
    <t>Date</t>
  </si>
  <si>
    <t>Transaction Type</t>
  </si>
  <si>
    <t>Num</t>
  </si>
  <si>
    <t>Name</t>
  </si>
  <si>
    <t>Memo/Description</t>
  </si>
  <si>
    <t>Split</t>
  </si>
  <si>
    <t>Amount</t>
  </si>
  <si>
    <t>Balance</t>
  </si>
  <si>
    <t>Journal Entry</t>
  </si>
  <si>
    <t>-Split-</t>
  </si>
  <si>
    <t>Check</t>
  </si>
  <si>
    <t>1000 Fund Balance</t>
  </si>
  <si>
    <t>Dufford Waldeck Milburn &amp; Krohn</t>
  </si>
  <si>
    <t>Eide Bailly, LLP</t>
  </si>
  <si>
    <t>Dusti Reimer</t>
  </si>
  <si>
    <t>Philadelphia Insurance Company</t>
  </si>
  <si>
    <t>Adobe</t>
  </si>
  <si>
    <t>Microsoft</t>
  </si>
  <si>
    <t>Cash Basis</t>
  </si>
  <si>
    <t>Beginning cash balance</t>
  </si>
  <si>
    <t>June report estimates current year</t>
  </si>
  <si>
    <t>Contract Payment to Mesa County</t>
  </si>
  <si>
    <t>Dividends &amp; Capital Gains/Losses</t>
  </si>
  <si>
    <t>Contract Payment to Mesa County (Pymnt 2)</t>
  </si>
  <si>
    <t>Estimated Actuals</t>
  </si>
  <si>
    <t xml:space="preserve"> Actuals</t>
  </si>
  <si>
    <t>Grants-Unused/Forfeited Grants</t>
  </si>
  <si>
    <t>Bill</t>
  </si>
  <si>
    <t>2000 Grants Payable</t>
  </si>
  <si>
    <t>Networks Unlimited</t>
  </si>
  <si>
    <t>Annualized</t>
  </si>
  <si>
    <t>East Orchard Mesa Fire Protection District</t>
  </si>
  <si>
    <t>Soronen Donley Patterson</t>
  </si>
  <si>
    <t>7000 Grants Awarded</t>
  </si>
  <si>
    <t xml:space="preserve">For Mesa County in 2022, severance tax forecasted to be </t>
  </si>
  <si>
    <t>FY 2021-22</t>
  </si>
  <si>
    <t>20- '21 Revenue is distributed in late '21 as a general rule</t>
  </si>
  <si>
    <t>10/20/2021</t>
  </si>
  <si>
    <t>11/15/2021</t>
  </si>
  <si>
    <t>EI01220828</t>
  </si>
  <si>
    <t>September Services</t>
  </si>
  <si>
    <t>October Services</t>
  </si>
  <si>
    <t>Office Depot</t>
  </si>
  <si>
    <t>ACS Business Systems, Inc.</t>
  </si>
  <si>
    <t>Hosting Services</t>
  </si>
  <si>
    <t>10/31/2021</t>
  </si>
  <si>
    <t>Total Contract Labor</t>
  </si>
  <si>
    <t>General Ledger</t>
  </si>
  <si>
    <t>Adj</t>
  </si>
  <si>
    <t>Beginning Balance</t>
  </si>
  <si>
    <t>01/18/2022</t>
  </si>
  <si>
    <t>No</t>
  </si>
  <si>
    <t>1/1/22 - 1/1/23 hosting</t>
  </si>
  <si>
    <t>7425 Administrative Expenses:Operations</t>
  </si>
  <si>
    <t>Email for 2022</t>
  </si>
  <si>
    <t>7405 Administrative Expenses:Dues/Memberships</t>
  </si>
  <si>
    <t>7115 Outside Services:Accounting Fees</t>
  </si>
  <si>
    <t>December services</t>
  </si>
  <si>
    <t>RoseCap Financial</t>
  </si>
  <si>
    <t>Voided - Contribution to Perm Fund</t>
  </si>
  <si>
    <t>1200 Permanent Fund</t>
  </si>
  <si>
    <t>01/19/2022</t>
  </si>
  <si>
    <t>TD Ameritrade</t>
  </si>
  <si>
    <t>02/14/2022</t>
  </si>
  <si>
    <t>January services</t>
  </si>
  <si>
    <t>7110 Outside Services:Legal Fees</t>
  </si>
  <si>
    <t>2022 Insurance</t>
  </si>
  <si>
    <t>7305 Insurance</t>
  </si>
  <si>
    <t>03/14/2022</t>
  </si>
  <si>
    <t>Voided</t>
  </si>
  <si>
    <t>February services</t>
  </si>
  <si>
    <t>Dec-Jan services</t>
  </si>
  <si>
    <t>04/20/2022</t>
  </si>
  <si>
    <t>Bill Payment (Check)</t>
  </si>
  <si>
    <t>Grand Junction Police Department</t>
  </si>
  <si>
    <t>05/16/2022</t>
  </si>
  <si>
    <t>April services</t>
  </si>
  <si>
    <t>Feb-March services</t>
  </si>
  <si>
    <t>06/13/2022</t>
  </si>
  <si>
    <t>07/18/2022</t>
  </si>
  <si>
    <t>7105 Auditing Expenses</t>
  </si>
  <si>
    <t>08/16/2022</t>
  </si>
  <si>
    <t>July services</t>
  </si>
  <si>
    <t>Total for 1000 Fund Balance</t>
  </si>
  <si>
    <t>2022 Perm Fund Contribution</t>
  </si>
  <si>
    <t>01/31/2022</t>
  </si>
  <si>
    <t>02/28/2022</t>
  </si>
  <si>
    <t>03/31/2022</t>
  </si>
  <si>
    <t>04/30/2022</t>
  </si>
  <si>
    <t>05/31/2022</t>
  </si>
  <si>
    <t>06/30/2022</t>
  </si>
  <si>
    <t>07/31/2022</t>
  </si>
  <si>
    <t>08/31/2022</t>
  </si>
  <si>
    <t>Total for 1200 Permanent Fund</t>
  </si>
  <si>
    <t>08/09/2022</t>
  </si>
  <si>
    <t>Total for 2000 Grants Payable</t>
  </si>
  <si>
    <t>3500 Retained Earnings</t>
  </si>
  <si>
    <t>Total for 3500 Retained Earnings</t>
  </si>
  <si>
    <t xml:space="preserve">   7005 Unused/Forfeited Grants</t>
  </si>
  <si>
    <t xml:space="preserve">   Total for 7005 Unused/Forfeited Grants</t>
  </si>
  <si>
    <t>Total for 7000 Grants Awarded</t>
  </si>
  <si>
    <t>7100 Outside Services</t>
  </si>
  <si>
    <t xml:space="preserve">   7110 Legal Fees</t>
  </si>
  <si>
    <t xml:space="preserve">   Total for 7110 Legal Fees</t>
  </si>
  <si>
    <t xml:space="preserve">   7115 Accounting Fees</t>
  </si>
  <si>
    <t>EI01250254</t>
  </si>
  <si>
    <t>EI01275866</t>
  </si>
  <si>
    <t>EI01318453</t>
  </si>
  <si>
    <t>EI01351047</t>
  </si>
  <si>
    <t xml:space="preserve">   Total for 7115 Accounting Fees</t>
  </si>
  <si>
    <t xml:space="preserve">   7120 Contract Services</t>
  </si>
  <si>
    <t xml:space="preserve">   Total for 7120 Contract Services</t>
  </si>
  <si>
    <t>Total for 7100 Outside Services</t>
  </si>
  <si>
    <t>INV#144645</t>
  </si>
  <si>
    <t>Total for 7105 Auditing Expenses</t>
  </si>
  <si>
    <t>Total for 7305 Insurance</t>
  </si>
  <si>
    <t>7400 Administrative Expenses</t>
  </si>
  <si>
    <t xml:space="preserve">   7405 Dues/Memberships</t>
  </si>
  <si>
    <t xml:space="preserve">   Total for 7405 Dues/Memberships</t>
  </si>
  <si>
    <t xml:space="preserve">   7425 Operations</t>
  </si>
  <si>
    <t xml:space="preserve">   Total for 7425 Operations</t>
  </si>
  <si>
    <t>Total for 7400 Administrative Expenses</t>
  </si>
  <si>
    <t>5005 Other Investment Income and Expenses</t>
  </si>
  <si>
    <t xml:space="preserve">   5600 Unrealized Gain/Loss in Perm Fund</t>
  </si>
  <si>
    <t xml:space="preserve">   Total for 5600 Unrealized Gain/Loss in Perm Fund</t>
  </si>
  <si>
    <t xml:space="preserve">   5605 Realized Gain/Loss in Perm Fund</t>
  </si>
  <si>
    <t xml:space="preserve">   Total for 5605 Realized Gain/Loss in Perm Fund</t>
  </si>
  <si>
    <t xml:space="preserve">   5700 Interest Earned</t>
  </si>
  <si>
    <t xml:space="preserve">   Total for 5700 Interest Earned</t>
  </si>
  <si>
    <t xml:space="preserve">   5705 Dividend Income</t>
  </si>
  <si>
    <t xml:space="preserve">   Total for 5705 Dividend Income</t>
  </si>
  <si>
    <t xml:space="preserve">   7125 Investment Fees</t>
  </si>
  <si>
    <t xml:space="preserve">   Total for 7125 Investment Fees</t>
  </si>
  <si>
    <t>Total for 5005 Other Investment Income and Expenses</t>
  </si>
  <si>
    <t>Not Specified</t>
  </si>
  <si>
    <t>Total for Not Specified</t>
  </si>
  <si>
    <t>5000 Government Grants Received</t>
  </si>
  <si>
    <t>September services</t>
  </si>
  <si>
    <t>USPS</t>
  </si>
  <si>
    <t>Voided - PO Box Renewal</t>
  </si>
  <si>
    <t>October services</t>
  </si>
  <si>
    <t>12/10/2021</t>
  </si>
  <si>
    <t>November services</t>
  </si>
  <si>
    <t>11/30/2021</t>
  </si>
  <si>
    <t>12/31/2021</t>
  </si>
  <si>
    <t>11/17/2021</t>
  </si>
  <si>
    <t>Town of Collbran</t>
  </si>
  <si>
    <t>Total for 5000 Government Grants Received</t>
  </si>
  <si>
    <t>Brush Truck</t>
  </si>
  <si>
    <t xml:space="preserve">   Beginning Balance</t>
  </si>
  <si>
    <t>Post Office Box 12-Month Renewal</t>
  </si>
  <si>
    <t xml:space="preserve">   7420 Supplies</t>
  </si>
  <si>
    <t xml:space="preserve">   Total for 7420 Supplies</t>
  </si>
  <si>
    <t>Dues</t>
  </si>
  <si>
    <t>January 1 - September 23, 2022</t>
  </si>
  <si>
    <t>09/21/2022</t>
  </si>
  <si>
    <t>October - December, 2021</t>
  </si>
  <si>
    <t>Friday, Sep 23, 2022 11:48:36 AM GMT-7 - Accrual Basis</t>
  </si>
  <si>
    <t>Friday, Sep 23, 2022 11:49:51 AM GMT-7 - Accrual Basis</t>
  </si>
  <si>
    <t>Oct - Dec</t>
  </si>
  <si>
    <t>Estimated Admin Expense</t>
  </si>
  <si>
    <t>Lega Fees</t>
  </si>
  <si>
    <t xml:space="preserve">Accounting </t>
  </si>
  <si>
    <t>Contract Services</t>
  </si>
  <si>
    <t>FY 2022-23</t>
  </si>
  <si>
    <t>https://drive.google.com/file/d/1f5rOqwPr5sEBcgumNkDc5guOr-zrTjFw/view</t>
  </si>
  <si>
    <t>50% of 2023 FML disbursement</t>
  </si>
  <si>
    <t>January 1 - September 25, 2023</t>
  </si>
  <si>
    <t>01/18/2023</t>
  </si>
  <si>
    <t>Sept services</t>
  </si>
  <si>
    <t>1/1/23 - 1/1/24 hosting</t>
  </si>
  <si>
    <t>2023 Insurance</t>
  </si>
  <si>
    <t>Email for 2023</t>
  </si>
  <si>
    <t>02/14/2023</t>
  </si>
  <si>
    <t>Jan</t>
  </si>
  <si>
    <t>03/14/2023</t>
  </si>
  <si>
    <t>Feb</t>
  </si>
  <si>
    <t>04/19/2023</t>
  </si>
  <si>
    <t>Sept-Nov</t>
  </si>
  <si>
    <t>05/15/2023</t>
  </si>
  <si>
    <t>April</t>
  </si>
  <si>
    <t>06/20/2023</t>
  </si>
  <si>
    <t>07/27/2023</t>
  </si>
  <si>
    <t>08/15/2023</t>
  </si>
  <si>
    <t>08/31/2023</t>
  </si>
  <si>
    <t>Deposit</t>
  </si>
  <si>
    <t>State of Colorado</t>
  </si>
  <si>
    <t>09/20/2023</t>
  </si>
  <si>
    <t>2023 Perm Fund Contribution</t>
  </si>
  <si>
    <t>01/31/2023</t>
  </si>
  <si>
    <t>02/28/2023</t>
  </si>
  <si>
    <t>03/31/2023</t>
  </si>
  <si>
    <t>04/30/2023</t>
  </si>
  <si>
    <t>05/31/2023</t>
  </si>
  <si>
    <t>06/30/2023</t>
  </si>
  <si>
    <t>07/31/2023</t>
  </si>
  <si>
    <t>EI01417422</t>
  </si>
  <si>
    <t>EI01532410</t>
  </si>
  <si>
    <t>INV# 149869</t>
  </si>
  <si>
    <t>INV# 150706</t>
  </si>
  <si>
    <t>Webroot LLC</t>
  </si>
  <si>
    <t>Friday, Oct 06, 2023 12:04:08 PM GMT-7 - Accrual Basis</t>
  </si>
  <si>
    <t>October - December, 2022</t>
  </si>
  <si>
    <t>10/19/2022</t>
  </si>
  <si>
    <t>PO Box Renewal</t>
  </si>
  <si>
    <t>Sept</t>
  </si>
  <si>
    <t>11/16/2022</t>
  </si>
  <si>
    <t>Oct</t>
  </si>
  <si>
    <t>12/19/2022</t>
  </si>
  <si>
    <t>Nov</t>
  </si>
  <si>
    <t>10/31/2022</t>
  </si>
  <si>
    <t>11/30/2022</t>
  </si>
  <si>
    <t>12/31/2022</t>
  </si>
  <si>
    <t>Mesa County Public Library District</t>
  </si>
  <si>
    <t>Plateau Valley Fire Protection District</t>
  </si>
  <si>
    <t>Two Brush Truck Cabs and Chassis</t>
  </si>
  <si>
    <t>New Clifton Library Branch</t>
  </si>
  <si>
    <t xml:space="preserve">   Total for 7000 Grants Awarded</t>
  </si>
  <si>
    <t xml:space="preserve">   </t>
  </si>
  <si>
    <t>Total for 7000 Grants Awarded with subs</t>
  </si>
  <si>
    <t>EI01385344</t>
  </si>
  <si>
    <t>Column Custom Notice</t>
  </si>
  <si>
    <t>Friday, Oct 06, 2023 12:07:59 PM GMT-7 - Accrual Basis</t>
  </si>
  <si>
    <t>Oct - Dec Estimated</t>
  </si>
  <si>
    <t>Legal Fees</t>
  </si>
  <si>
    <t>Accounting</t>
  </si>
  <si>
    <t>Contract Service</t>
  </si>
  <si>
    <t>Operations</t>
  </si>
  <si>
    <t xml:space="preserve">For Mesa County in 2023, severance tax forecasted to be </t>
  </si>
  <si>
    <t>https://leg.colorado.gov/EconomicForecasts</t>
  </si>
  <si>
    <t>FY 2023-24</t>
  </si>
  <si>
    <t>https://www.colorado.gov/governor/economics</t>
  </si>
  <si>
    <t>September 2023 report estimates current year</t>
  </si>
  <si>
    <t xml:space="preserve">https://drive.google.com/drive/folders/1qkPwKuNjebu9ZBvSvo4Yro1bOVxqaMAP </t>
  </si>
  <si>
    <t>22- '23 Revenue is distributed in late '23 as a general rule</t>
  </si>
  <si>
    <t>Budget (Scenario 1)</t>
  </si>
  <si>
    <t>Budget (Scenario 2)</t>
  </si>
  <si>
    <t>Draft Budget 1</t>
  </si>
  <si>
    <t>Draft Budget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</si>
</sst>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_ ;[Red]\-#,##0\ "/>
    <numFmt numFmtId="165" formatCode="0.0%"/>
    <numFmt numFmtId="166" formatCode="#,##0.00\ _€"/>
    <numFmt numFmtId="167" formatCode="&quot;$&quot;* #,##0.00\ _€"/>
    <numFmt numFmtId="168" formatCode="_(* #,##0_);_(* \(#,##0\);_(* &quot;-&quot;??_);_(@_)"/>
    <numFmt numFmtId="169" formatCode="_(* #,##0.0000_);_(* \(#,##0.0000\);_(* &quot;-&quot;??_);_(@_)"/>
    <numFmt numFmtId="170" formatCode="_(* #,##0.00000_);_(* \(#,##0.00000\);_(* &quot;-&quot;??_);_(@_)"/>
  </numFmts>
  <fonts count="29">
    <font>
      <sz val="10"/>
      <color indexed="8"/>
      <name val="ARIAL"/>
      <charset val="1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16"/>
      <color indexed="8"/>
      <name val="Arial"/>
      <family val="2"/>
    </font>
    <font>
      <b/>
      <sz val="16"/>
      <color indexed="8"/>
      <name val="Arial"/>
      <family val="2"/>
    </font>
    <font>
      <sz val="10"/>
      <color indexed="8"/>
      <name val="Arial"/>
      <family val="2"/>
    </font>
    <font>
      <i/>
      <sz val="9"/>
      <color indexed="8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8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i/>
      <sz val="11"/>
      <color indexed="8"/>
      <name val="Arial"/>
      <family val="2"/>
    </font>
    <font>
      <sz val="11"/>
      <name val="Arial"/>
      <family val="2"/>
    </font>
    <font>
      <sz val="10"/>
      <color rgb="FFFF0000"/>
      <name val="CCHReverse10"/>
    </font>
    <font>
      <b/>
      <sz val="14"/>
      <color indexed="8"/>
      <name val="Arial"/>
      <family val="2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b/>
      <sz val="11"/>
      <color rgb="FFFF0000"/>
      <name val="Arial"/>
      <family val="2"/>
    </font>
    <font>
      <sz val="11"/>
      <color indexed="8"/>
      <name val="Calibri"/>
      <family val="2"/>
      <scheme val="minor"/>
    </font>
    <font>
      <b/>
      <sz val="9"/>
      <color indexed="8"/>
      <name val="Arial"/>
    </font>
    <font>
      <b/>
      <sz val="8"/>
      <color indexed="8"/>
      <name val="Arial"/>
    </font>
    <font>
      <sz val="8"/>
      <color indexed="8"/>
      <name val="Arial"/>
    </font>
    <font>
      <b/>
      <sz val="14"/>
      <color indexed="8"/>
      <name val="Arial"/>
    </font>
    <font>
      <b/>
      <sz val="10"/>
      <color indexed="8"/>
      <name val="Arial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A1F478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39997558519241921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/>
      <diagonal/>
    </border>
  </borders>
  <cellStyleXfs count="92">
    <xf numFmtId="0" fontId="0" fillId="0" borderId="0">
      <alignment vertical="top"/>
    </xf>
    <xf numFmtId="43" fontId="2" fillId="0" borderId="0" applyFont="0" applyFill="0" applyBorder="0" applyAlignment="0" applyProtection="0">
      <alignment vertical="top"/>
    </xf>
    <xf numFmtId="44" fontId="7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</xf>
    <xf numFmtId="0" fontId="10" fillId="0" borderId="0" applyNumberFormat="0" applyFill="0" applyBorder="0" applyAlignment="0" applyProtection="0">
      <alignment vertical="top"/>
    </xf>
    <xf numFmtId="0" fontId="9" fillId="0" borderId="0" applyNumberFormat="0" applyFill="0" applyBorder="0" applyAlignment="0" applyProtection="0">
      <alignment vertical="top"/>
    </xf>
    <xf numFmtId="0" fontId="10" fillId="0" borderId="0" applyNumberFormat="0" applyFill="0" applyBorder="0" applyAlignment="0" applyProtection="0">
      <alignment vertical="top"/>
    </xf>
    <xf numFmtId="0" fontId="9" fillId="0" borderId="0" applyNumberFormat="0" applyFill="0" applyBorder="0" applyAlignment="0" applyProtection="0">
      <alignment vertical="top"/>
    </xf>
    <xf numFmtId="0" fontId="10" fillId="0" borderId="0" applyNumberFormat="0" applyFill="0" applyBorder="0" applyAlignment="0" applyProtection="0">
      <alignment vertical="top"/>
    </xf>
    <xf numFmtId="0" fontId="9" fillId="0" borderId="0" applyNumberFormat="0" applyFill="0" applyBorder="0" applyAlignment="0" applyProtection="0">
      <alignment vertical="top"/>
    </xf>
    <xf numFmtId="0" fontId="10" fillId="0" borderId="0" applyNumberFormat="0" applyFill="0" applyBorder="0" applyAlignment="0" applyProtection="0">
      <alignment vertical="top"/>
    </xf>
    <xf numFmtId="0" fontId="9" fillId="0" borderId="0" applyNumberFormat="0" applyFill="0" applyBorder="0" applyAlignment="0" applyProtection="0">
      <alignment vertical="top"/>
    </xf>
    <xf numFmtId="0" fontId="10" fillId="0" borderId="0" applyNumberFormat="0" applyFill="0" applyBorder="0" applyAlignment="0" applyProtection="0">
      <alignment vertical="top"/>
    </xf>
    <xf numFmtId="0" fontId="9" fillId="0" borderId="0" applyNumberFormat="0" applyFill="0" applyBorder="0" applyAlignment="0" applyProtection="0">
      <alignment vertical="top"/>
    </xf>
    <xf numFmtId="0" fontId="10" fillId="0" borderId="0" applyNumberFormat="0" applyFill="0" applyBorder="0" applyAlignment="0" applyProtection="0">
      <alignment vertical="top"/>
    </xf>
    <xf numFmtId="0" fontId="9" fillId="0" borderId="0" applyNumberFormat="0" applyFill="0" applyBorder="0" applyAlignment="0" applyProtection="0">
      <alignment vertical="top"/>
    </xf>
    <xf numFmtId="0" fontId="10" fillId="0" borderId="0" applyNumberFormat="0" applyFill="0" applyBorder="0" applyAlignment="0" applyProtection="0">
      <alignment vertical="top"/>
    </xf>
    <xf numFmtId="0" fontId="9" fillId="0" borderId="0" applyNumberFormat="0" applyFill="0" applyBorder="0" applyAlignment="0" applyProtection="0">
      <alignment vertical="top"/>
    </xf>
    <xf numFmtId="0" fontId="10" fillId="0" borderId="0" applyNumberFormat="0" applyFill="0" applyBorder="0" applyAlignment="0" applyProtection="0">
      <alignment vertical="top"/>
    </xf>
    <xf numFmtId="0" fontId="9" fillId="0" borderId="0" applyNumberFormat="0" applyFill="0" applyBorder="0" applyAlignment="0" applyProtection="0">
      <alignment vertical="top"/>
    </xf>
    <xf numFmtId="0" fontId="10" fillId="0" borderId="0" applyNumberFormat="0" applyFill="0" applyBorder="0" applyAlignment="0" applyProtection="0">
      <alignment vertical="top"/>
    </xf>
    <xf numFmtId="0" fontId="9" fillId="0" borderId="0" applyNumberFormat="0" applyFill="0" applyBorder="0" applyAlignment="0" applyProtection="0">
      <alignment vertical="top"/>
    </xf>
    <xf numFmtId="0" fontId="10" fillId="0" borderId="0" applyNumberFormat="0" applyFill="0" applyBorder="0" applyAlignment="0" applyProtection="0">
      <alignment vertical="top"/>
    </xf>
    <xf numFmtId="0" fontId="9" fillId="0" borderId="0" applyNumberFormat="0" applyFill="0" applyBorder="0" applyAlignment="0" applyProtection="0">
      <alignment vertical="top"/>
    </xf>
    <xf numFmtId="0" fontId="10" fillId="0" borderId="0" applyNumberFormat="0" applyFill="0" applyBorder="0" applyAlignment="0" applyProtection="0">
      <alignment vertical="top"/>
    </xf>
    <xf numFmtId="0" fontId="9" fillId="0" borderId="0" applyNumberFormat="0" applyFill="0" applyBorder="0" applyAlignment="0" applyProtection="0">
      <alignment vertical="top"/>
    </xf>
    <xf numFmtId="0" fontId="10" fillId="0" borderId="0" applyNumberFormat="0" applyFill="0" applyBorder="0" applyAlignment="0" applyProtection="0">
      <alignment vertical="top"/>
    </xf>
    <xf numFmtId="0" fontId="9" fillId="0" borderId="0" applyNumberFormat="0" applyFill="0" applyBorder="0" applyAlignment="0" applyProtection="0">
      <alignment vertical="top"/>
    </xf>
    <xf numFmtId="0" fontId="10" fillId="0" borderId="0" applyNumberFormat="0" applyFill="0" applyBorder="0" applyAlignment="0" applyProtection="0">
      <alignment vertical="top"/>
    </xf>
    <xf numFmtId="0" fontId="9" fillId="0" borderId="0" applyNumberFormat="0" applyFill="0" applyBorder="0" applyAlignment="0" applyProtection="0">
      <alignment vertical="top"/>
    </xf>
    <xf numFmtId="0" fontId="10" fillId="0" borderId="0" applyNumberFormat="0" applyFill="0" applyBorder="0" applyAlignment="0" applyProtection="0">
      <alignment vertical="top"/>
    </xf>
    <xf numFmtId="0" fontId="9" fillId="0" borderId="0" applyNumberFormat="0" applyFill="0" applyBorder="0" applyAlignment="0" applyProtection="0">
      <alignment vertical="top"/>
    </xf>
    <xf numFmtId="0" fontId="10" fillId="0" borderId="0" applyNumberFormat="0" applyFill="0" applyBorder="0" applyAlignment="0" applyProtection="0">
      <alignment vertical="top"/>
    </xf>
    <xf numFmtId="9" fontId="1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</xf>
    <xf numFmtId="0" fontId="10" fillId="0" borderId="0" applyNumberFormat="0" applyFill="0" applyBorder="0" applyAlignment="0" applyProtection="0">
      <alignment vertical="top"/>
    </xf>
    <xf numFmtId="0" fontId="9" fillId="0" borderId="0" applyNumberFormat="0" applyFill="0" applyBorder="0" applyAlignment="0" applyProtection="0">
      <alignment vertical="top"/>
    </xf>
    <xf numFmtId="0" fontId="10" fillId="0" borderId="0" applyNumberFormat="0" applyFill="0" applyBorder="0" applyAlignment="0" applyProtection="0">
      <alignment vertical="top"/>
    </xf>
    <xf numFmtId="0" fontId="9" fillId="0" borderId="0" applyNumberFormat="0" applyFill="0" applyBorder="0" applyAlignment="0" applyProtection="0">
      <alignment vertical="top"/>
    </xf>
    <xf numFmtId="0" fontId="10" fillId="0" borderId="0" applyNumberFormat="0" applyFill="0" applyBorder="0" applyAlignment="0" applyProtection="0">
      <alignment vertical="top"/>
    </xf>
    <xf numFmtId="0" fontId="9" fillId="0" borderId="0" applyNumberFormat="0" applyFill="0" applyBorder="0" applyAlignment="0" applyProtection="0">
      <alignment vertical="top"/>
    </xf>
    <xf numFmtId="0" fontId="10" fillId="0" borderId="0" applyNumberFormat="0" applyFill="0" applyBorder="0" applyAlignment="0" applyProtection="0">
      <alignment vertical="top"/>
    </xf>
    <xf numFmtId="0" fontId="9" fillId="0" borderId="0" applyNumberFormat="0" applyFill="0" applyBorder="0" applyAlignment="0" applyProtection="0">
      <alignment vertical="top"/>
    </xf>
    <xf numFmtId="0" fontId="10" fillId="0" borderId="0" applyNumberFormat="0" applyFill="0" applyBorder="0" applyAlignment="0" applyProtection="0">
      <alignment vertical="top"/>
    </xf>
    <xf numFmtId="0" fontId="9" fillId="0" borderId="0" applyNumberFormat="0" applyFill="0" applyBorder="0" applyAlignment="0" applyProtection="0">
      <alignment vertical="top"/>
    </xf>
    <xf numFmtId="0" fontId="10" fillId="0" borderId="0" applyNumberFormat="0" applyFill="0" applyBorder="0" applyAlignment="0" applyProtection="0">
      <alignment vertical="top"/>
    </xf>
    <xf numFmtId="0" fontId="9" fillId="0" borderId="0" applyNumberFormat="0" applyFill="0" applyBorder="0" applyAlignment="0" applyProtection="0">
      <alignment vertical="top"/>
    </xf>
    <xf numFmtId="0" fontId="10" fillId="0" borderId="0" applyNumberFormat="0" applyFill="0" applyBorder="0" applyAlignment="0" applyProtection="0">
      <alignment vertical="top"/>
    </xf>
    <xf numFmtId="0" fontId="9" fillId="0" borderId="0" applyNumberFormat="0" applyFill="0" applyBorder="0" applyAlignment="0" applyProtection="0">
      <alignment vertical="top"/>
    </xf>
    <xf numFmtId="0" fontId="10" fillId="0" borderId="0" applyNumberFormat="0" applyFill="0" applyBorder="0" applyAlignment="0" applyProtection="0">
      <alignment vertical="top"/>
    </xf>
    <xf numFmtId="0" fontId="9" fillId="0" borderId="0" applyNumberFormat="0" applyFill="0" applyBorder="0" applyAlignment="0" applyProtection="0">
      <alignment vertical="top"/>
    </xf>
    <xf numFmtId="0" fontId="10" fillId="0" borderId="0" applyNumberFormat="0" applyFill="0" applyBorder="0" applyAlignment="0" applyProtection="0">
      <alignment vertical="top"/>
    </xf>
    <xf numFmtId="0" fontId="9" fillId="0" borderId="0" applyNumberFormat="0" applyFill="0" applyBorder="0" applyAlignment="0" applyProtection="0">
      <alignment vertical="top"/>
    </xf>
    <xf numFmtId="0" fontId="10" fillId="0" borderId="0" applyNumberFormat="0" applyFill="0" applyBorder="0" applyAlignment="0" applyProtection="0">
      <alignment vertical="top"/>
    </xf>
    <xf numFmtId="0" fontId="9" fillId="0" borderId="0" applyNumberFormat="0" applyFill="0" applyBorder="0" applyAlignment="0" applyProtection="0">
      <alignment vertical="top"/>
    </xf>
    <xf numFmtId="0" fontId="10" fillId="0" borderId="0" applyNumberFormat="0" applyFill="0" applyBorder="0" applyAlignment="0" applyProtection="0">
      <alignment vertical="top"/>
    </xf>
    <xf numFmtId="0" fontId="9" fillId="0" borderId="0" applyNumberFormat="0" applyFill="0" applyBorder="0" applyAlignment="0" applyProtection="0">
      <alignment vertical="top"/>
    </xf>
    <xf numFmtId="0" fontId="10" fillId="0" borderId="0" applyNumberFormat="0" applyFill="0" applyBorder="0" applyAlignment="0" applyProtection="0">
      <alignment vertical="top"/>
    </xf>
    <xf numFmtId="0" fontId="9" fillId="0" borderId="0" applyNumberFormat="0" applyFill="0" applyBorder="0" applyAlignment="0" applyProtection="0">
      <alignment vertical="top"/>
    </xf>
    <xf numFmtId="0" fontId="10" fillId="0" borderId="0" applyNumberFormat="0" applyFill="0" applyBorder="0" applyAlignment="0" applyProtection="0">
      <alignment vertical="top"/>
    </xf>
    <xf numFmtId="0" fontId="9" fillId="0" borderId="0" applyNumberFormat="0" applyFill="0" applyBorder="0" applyAlignment="0" applyProtection="0">
      <alignment vertical="top"/>
    </xf>
    <xf numFmtId="0" fontId="10" fillId="0" borderId="0" applyNumberFormat="0" applyFill="0" applyBorder="0" applyAlignment="0" applyProtection="0">
      <alignment vertical="top"/>
    </xf>
    <xf numFmtId="0" fontId="9" fillId="0" borderId="0" applyNumberFormat="0" applyFill="0" applyBorder="0" applyAlignment="0" applyProtection="0">
      <alignment vertical="top"/>
    </xf>
    <xf numFmtId="0" fontId="10" fillId="0" borderId="0" applyNumberFormat="0" applyFill="0" applyBorder="0" applyAlignment="0" applyProtection="0">
      <alignment vertical="top"/>
    </xf>
    <xf numFmtId="0" fontId="9" fillId="0" borderId="0" applyNumberFormat="0" applyFill="0" applyBorder="0" applyAlignment="0" applyProtection="0">
      <alignment vertical="top"/>
    </xf>
    <xf numFmtId="0" fontId="10" fillId="0" borderId="0" applyNumberFormat="0" applyFill="0" applyBorder="0" applyAlignment="0" applyProtection="0">
      <alignment vertical="top"/>
    </xf>
    <xf numFmtId="0" fontId="9" fillId="0" borderId="0" applyNumberFormat="0" applyFill="0" applyBorder="0" applyAlignment="0" applyProtection="0">
      <alignment vertical="top"/>
    </xf>
    <xf numFmtId="0" fontId="10" fillId="0" borderId="0" applyNumberFormat="0" applyFill="0" applyBorder="0" applyAlignment="0" applyProtection="0">
      <alignment vertical="top"/>
    </xf>
    <xf numFmtId="0" fontId="9" fillId="0" borderId="0" applyNumberFormat="0" applyFill="0" applyBorder="0" applyAlignment="0" applyProtection="0">
      <alignment vertical="top"/>
    </xf>
    <xf numFmtId="0" fontId="10" fillId="0" borderId="0" applyNumberFormat="0" applyFill="0" applyBorder="0" applyAlignment="0" applyProtection="0">
      <alignment vertical="top"/>
    </xf>
    <xf numFmtId="0" fontId="9" fillId="0" borderId="0" applyNumberFormat="0" applyFill="0" applyBorder="0" applyAlignment="0" applyProtection="0">
      <alignment vertical="top"/>
    </xf>
    <xf numFmtId="0" fontId="10" fillId="0" borderId="0" applyNumberFormat="0" applyFill="0" applyBorder="0" applyAlignment="0" applyProtection="0">
      <alignment vertical="top"/>
    </xf>
    <xf numFmtId="0" fontId="9" fillId="0" borderId="0" applyNumberFormat="0" applyFill="0" applyBorder="0" applyAlignment="0" applyProtection="0">
      <alignment vertical="top"/>
    </xf>
    <xf numFmtId="0" fontId="10" fillId="0" borderId="0" applyNumberFormat="0" applyFill="0" applyBorder="0" applyAlignment="0" applyProtection="0">
      <alignment vertical="top"/>
    </xf>
    <xf numFmtId="0" fontId="9" fillId="0" borderId="0" applyNumberFormat="0" applyFill="0" applyBorder="0" applyAlignment="0" applyProtection="0">
      <alignment vertical="top"/>
    </xf>
    <xf numFmtId="0" fontId="10" fillId="0" borderId="0" applyNumberFormat="0" applyFill="0" applyBorder="0" applyAlignment="0" applyProtection="0">
      <alignment vertical="top"/>
    </xf>
    <xf numFmtId="0" fontId="9" fillId="0" borderId="0" applyNumberFormat="0" applyFill="0" applyBorder="0" applyAlignment="0" applyProtection="0">
      <alignment vertical="top"/>
    </xf>
    <xf numFmtId="0" fontId="10" fillId="0" borderId="0" applyNumberFormat="0" applyFill="0" applyBorder="0" applyAlignment="0" applyProtection="0">
      <alignment vertical="top"/>
    </xf>
    <xf numFmtId="0" fontId="9" fillId="0" borderId="0" applyNumberFormat="0" applyFill="0" applyBorder="0" applyAlignment="0" applyProtection="0">
      <alignment vertical="top"/>
    </xf>
    <xf numFmtId="0" fontId="10" fillId="0" borderId="0" applyNumberFormat="0" applyFill="0" applyBorder="0" applyAlignment="0" applyProtection="0">
      <alignment vertical="top"/>
    </xf>
    <xf numFmtId="0" fontId="9" fillId="0" borderId="0" applyNumberFormat="0" applyFill="0" applyBorder="0" applyAlignment="0" applyProtection="0">
      <alignment vertical="top"/>
    </xf>
    <xf numFmtId="0" fontId="10" fillId="0" borderId="0" applyNumberFormat="0" applyFill="0" applyBorder="0" applyAlignment="0" applyProtection="0">
      <alignment vertical="top"/>
    </xf>
    <xf numFmtId="0" fontId="9" fillId="0" borderId="0" applyNumberFormat="0" applyFill="0" applyBorder="0" applyAlignment="0" applyProtection="0">
      <alignment vertical="top"/>
    </xf>
    <xf numFmtId="0" fontId="10" fillId="0" borderId="0" applyNumberFormat="0" applyFill="0" applyBorder="0" applyAlignment="0" applyProtection="0">
      <alignment vertical="top"/>
    </xf>
    <xf numFmtId="0" fontId="10" fillId="0" borderId="0" applyNumberFormat="0" applyFill="0" applyBorder="0" applyAlignment="0" applyProtection="0">
      <alignment vertical="top"/>
    </xf>
    <xf numFmtId="0" fontId="10" fillId="0" borderId="0" applyNumberFormat="0" applyFill="0" applyBorder="0" applyAlignment="0" applyProtection="0">
      <alignment vertical="top"/>
    </xf>
    <xf numFmtId="0" fontId="10" fillId="0" borderId="0" applyNumberFormat="0" applyFill="0" applyBorder="0" applyAlignment="0" applyProtection="0">
      <alignment vertical="top"/>
    </xf>
    <xf numFmtId="0" fontId="10" fillId="0" borderId="0" applyNumberFormat="0" applyFill="0" applyBorder="0" applyAlignment="0" applyProtection="0">
      <alignment vertical="top"/>
    </xf>
    <xf numFmtId="0" fontId="10" fillId="0" borderId="0" applyNumberFormat="0" applyFill="0" applyBorder="0" applyAlignment="0" applyProtection="0">
      <alignment vertical="top"/>
    </xf>
    <xf numFmtId="43" fontId="1" fillId="0" borderId="0" applyFont="0" applyFill="0" applyBorder="0" applyAlignment="0" applyProtection="0">
      <alignment vertical="top"/>
    </xf>
    <xf numFmtId="44" fontId="1" fillId="0" borderId="0" applyFont="0" applyFill="0" applyBorder="0" applyAlignment="0" applyProtection="0"/>
    <xf numFmtId="0" fontId="23" fillId="0" borderId="0"/>
  </cellStyleXfs>
  <cellXfs count="185">
    <xf numFmtId="0" fontId="0" fillId="0" borderId="0" xfId="0">
      <alignment vertical="top"/>
    </xf>
    <xf numFmtId="0" fontId="3" fillId="0" borderId="0" xfId="0" applyFont="1">
      <alignment vertical="top"/>
    </xf>
    <xf numFmtId="0" fontId="5" fillId="0" borderId="0" xfId="0" applyFont="1" applyAlignment="1">
      <alignment horizontal="centerContinuous" vertical="top"/>
    </xf>
    <xf numFmtId="43" fontId="4" fillId="0" borderId="0" xfId="1" applyFont="1" applyBorder="1">
      <alignment vertical="top"/>
    </xf>
    <xf numFmtId="0" fontId="3" fillId="0" borderId="0" xfId="0" applyFont="1" applyAlignment="1">
      <alignment wrapText="1"/>
    </xf>
    <xf numFmtId="43" fontId="6" fillId="0" borderId="0" xfId="1" applyFont="1" applyBorder="1" applyAlignment="1">
      <alignment horizontal="centerContinuous" vertical="top"/>
    </xf>
    <xf numFmtId="43" fontId="4" fillId="0" borderId="0" xfId="1" applyFont="1" applyBorder="1" applyAlignment="1">
      <alignment horizontal="center" wrapText="1"/>
    </xf>
    <xf numFmtId="43" fontId="3" fillId="0" borderId="0" xfId="0" applyNumberFormat="1" applyFont="1">
      <alignment vertical="top"/>
    </xf>
    <xf numFmtId="43" fontId="3" fillId="0" borderId="0" xfId="1" applyFont="1">
      <alignment vertical="top"/>
    </xf>
    <xf numFmtId="44" fontId="3" fillId="0" borderId="0" xfId="0" applyNumberFormat="1" applyFont="1">
      <alignment vertical="top"/>
    </xf>
    <xf numFmtId="0" fontId="5" fillId="0" borderId="0" xfId="0" applyFont="1" applyAlignment="1">
      <alignment horizontal="center" vertical="top"/>
    </xf>
    <xf numFmtId="43" fontId="8" fillId="0" borderId="0" xfId="1" applyFont="1" applyAlignment="1">
      <alignment horizontal="center" wrapText="1"/>
    </xf>
    <xf numFmtId="0" fontId="12" fillId="0" borderId="0" xfId="0" applyFont="1">
      <alignment vertical="top"/>
    </xf>
    <xf numFmtId="43" fontId="13" fillId="0" borderId="0" xfId="1" applyFont="1" applyBorder="1" applyAlignment="1">
      <alignment horizontal="center" vertical="top"/>
    </xf>
    <xf numFmtId="43" fontId="12" fillId="0" borderId="0" xfId="1" applyFont="1" applyAlignment="1">
      <alignment horizontal="center" vertical="top"/>
    </xf>
    <xf numFmtId="0" fontId="12" fillId="0" borderId="0" xfId="0" applyFont="1" applyAlignment="1">
      <alignment horizontal="center" vertical="top"/>
    </xf>
    <xf numFmtId="43" fontId="14" fillId="0" borderId="0" xfId="1" applyFont="1" applyAlignment="1">
      <alignment horizontal="center" vertical="top"/>
    </xf>
    <xf numFmtId="44" fontId="13" fillId="0" borderId="0" xfId="2" applyFont="1" applyBorder="1" applyAlignment="1">
      <alignment vertical="top"/>
    </xf>
    <xf numFmtId="164" fontId="13" fillId="0" borderId="0" xfId="2" applyNumberFormat="1" applyFont="1" applyBorder="1" applyAlignment="1">
      <alignment vertical="top"/>
    </xf>
    <xf numFmtId="43" fontId="13" fillId="0" borderId="0" xfId="1" applyFont="1" applyBorder="1">
      <alignment vertical="top"/>
    </xf>
    <xf numFmtId="164" fontId="13" fillId="0" borderId="0" xfId="1" applyNumberFormat="1" applyFont="1" applyBorder="1">
      <alignment vertical="top"/>
    </xf>
    <xf numFmtId="0" fontId="14" fillId="0" borderId="0" xfId="0" applyFont="1" applyAlignment="1">
      <alignment horizontal="center" vertical="top"/>
    </xf>
    <xf numFmtId="0" fontId="12" fillId="0" borderId="0" xfId="0" applyFont="1" applyAlignment="1">
      <alignment horizontal="right" vertical="top"/>
    </xf>
    <xf numFmtId="43" fontId="13" fillId="0" borderId="0" xfId="1" applyFont="1" applyBorder="1" applyAlignment="1"/>
    <xf numFmtId="164" fontId="13" fillId="0" borderId="0" xfId="1" applyNumberFormat="1" applyFont="1" applyBorder="1" applyAlignment="1"/>
    <xf numFmtId="43" fontId="13" fillId="0" borderId="0" xfId="1" applyFont="1" applyBorder="1" applyAlignment="1">
      <alignment horizontal="centerContinuous" vertical="top"/>
    </xf>
    <xf numFmtId="0" fontId="12" fillId="0" borderId="0" xfId="0" applyFont="1" applyAlignment="1">
      <alignment horizontal="centerContinuous" vertical="top"/>
    </xf>
    <xf numFmtId="43" fontId="13" fillId="0" borderId="0" xfId="1" applyFont="1" applyAlignment="1">
      <alignment horizontal="centerContinuous" vertical="top"/>
    </xf>
    <xf numFmtId="0" fontId="13" fillId="0" borderId="0" xfId="0" applyFont="1" applyAlignment="1">
      <alignment horizontal="centerContinuous" vertical="top"/>
    </xf>
    <xf numFmtId="43" fontId="12" fillId="0" borderId="0" xfId="1" applyFont="1" applyBorder="1" applyAlignment="1">
      <alignment horizontal="centerContinuous" vertical="top"/>
    </xf>
    <xf numFmtId="0" fontId="12" fillId="0" borderId="0" xfId="0" applyFont="1" applyAlignment="1">
      <alignment wrapText="1"/>
    </xf>
    <xf numFmtId="43" fontId="12" fillId="0" borderId="0" xfId="1" applyFont="1" applyAlignment="1">
      <alignment horizontal="center" wrapText="1"/>
    </xf>
    <xf numFmtId="0" fontId="12" fillId="0" borderId="0" xfId="0" applyFont="1" applyAlignment="1">
      <alignment horizontal="center" wrapText="1"/>
    </xf>
    <xf numFmtId="43" fontId="12" fillId="0" borderId="0" xfId="1" applyFont="1" applyBorder="1" applyAlignment="1">
      <alignment horizontal="center" wrapText="1"/>
    </xf>
    <xf numFmtId="43" fontId="13" fillId="0" borderId="0" xfId="1" applyFont="1" applyBorder="1" applyAlignment="1">
      <alignment horizontal="center" wrapText="1"/>
    </xf>
    <xf numFmtId="43" fontId="14" fillId="0" borderId="0" xfId="1" applyFont="1" applyAlignment="1">
      <alignment horizontal="center" wrapText="1"/>
    </xf>
    <xf numFmtId="43" fontId="12" fillId="0" borderId="0" xfId="1" applyFont="1" applyBorder="1" applyAlignment="1">
      <alignment horizontal="center" vertical="top"/>
    </xf>
    <xf numFmtId="44" fontId="12" fillId="0" borderId="0" xfId="2" applyFont="1" applyAlignment="1"/>
    <xf numFmtId="44" fontId="12" fillId="0" borderId="0" xfId="2" applyFont="1" applyAlignment="1">
      <alignment vertical="top"/>
    </xf>
    <xf numFmtId="44" fontId="12" fillId="0" borderId="0" xfId="2" applyFont="1" applyBorder="1" applyAlignment="1">
      <alignment vertical="top"/>
    </xf>
    <xf numFmtId="44" fontId="14" fillId="0" borderId="0" xfId="2" applyFont="1" applyFill="1" applyAlignment="1"/>
    <xf numFmtId="43" fontId="12" fillId="0" borderId="0" xfId="1" applyFont="1" applyAlignment="1"/>
    <xf numFmtId="43" fontId="12" fillId="0" borderId="0" xfId="1" applyFont="1" applyBorder="1">
      <alignment vertical="top"/>
    </xf>
    <xf numFmtId="43" fontId="14" fillId="0" borderId="0" xfId="1" applyFont="1" applyFill="1" applyAlignment="1"/>
    <xf numFmtId="43" fontId="12" fillId="0" borderId="2" xfId="1" applyFont="1" applyBorder="1" applyAlignment="1"/>
    <xf numFmtId="43" fontId="14" fillId="0" borderId="2" xfId="1" applyFont="1" applyFill="1" applyBorder="1" applyAlignment="1"/>
    <xf numFmtId="43" fontId="12" fillId="0" borderId="0" xfId="1" applyFont="1">
      <alignment vertical="top"/>
    </xf>
    <xf numFmtId="43" fontId="13" fillId="2" borderId="0" xfId="1" applyFont="1" applyFill="1" applyAlignment="1"/>
    <xf numFmtId="43" fontId="12" fillId="0" borderId="0" xfId="0" applyNumberFormat="1" applyFont="1">
      <alignment vertical="top"/>
    </xf>
    <xf numFmtId="43" fontId="12" fillId="0" borderId="0" xfId="1" applyFont="1" applyBorder="1" applyAlignment="1"/>
    <xf numFmtId="44" fontId="12" fillId="0" borderId="3" xfId="2" applyFont="1" applyBorder="1" applyAlignment="1">
      <alignment vertical="top"/>
    </xf>
    <xf numFmtId="44" fontId="13" fillId="2" borderId="3" xfId="2" applyFont="1" applyFill="1" applyBorder="1" applyAlignment="1">
      <alignment vertical="top"/>
    </xf>
    <xf numFmtId="0" fontId="12" fillId="0" borderId="0" xfId="0" applyFont="1" applyAlignment="1"/>
    <xf numFmtId="43" fontId="13" fillId="0" borderId="0" xfId="1" applyFont="1" applyAlignment="1">
      <alignment horizontal="center" vertical="top"/>
    </xf>
    <xf numFmtId="43" fontId="13" fillId="0" borderId="0" xfId="1" applyFont="1">
      <alignment vertical="top"/>
    </xf>
    <xf numFmtId="0" fontId="13" fillId="0" borderId="0" xfId="0" applyFont="1">
      <alignment vertical="top"/>
    </xf>
    <xf numFmtId="44" fontId="12" fillId="0" borderId="0" xfId="0" applyNumberFormat="1" applyFont="1">
      <alignment vertical="top"/>
    </xf>
    <xf numFmtId="0" fontId="9" fillId="0" borderId="0" xfId="82">
      <alignment vertical="top"/>
    </xf>
    <xf numFmtId="44" fontId="13" fillId="0" borderId="0" xfId="2" applyFont="1" applyFill="1" applyAlignment="1"/>
    <xf numFmtId="43" fontId="13" fillId="0" borderId="0" xfId="1" applyFont="1" applyFill="1" applyBorder="1" applyAlignment="1"/>
    <xf numFmtId="43" fontId="13" fillId="0" borderId="0" xfId="1" applyFont="1" applyFill="1" applyAlignment="1"/>
    <xf numFmtId="43" fontId="13" fillId="0" borderId="0" xfId="1" applyFont="1" applyFill="1">
      <alignment vertical="top"/>
    </xf>
    <xf numFmtId="43" fontId="13" fillId="0" borderId="0" xfId="1" applyFont="1" applyFill="1" applyBorder="1">
      <alignment vertical="top"/>
    </xf>
    <xf numFmtId="44" fontId="13" fillId="0" borderId="0" xfId="2" applyFont="1" applyFill="1" applyBorder="1" applyAlignment="1">
      <alignment vertical="top"/>
    </xf>
    <xf numFmtId="0" fontId="13" fillId="0" borderId="0" xfId="0" applyFont="1" applyAlignment="1">
      <alignment horizontal="center" vertical="top"/>
    </xf>
    <xf numFmtId="43" fontId="13" fillId="0" borderId="0" xfId="1" applyFont="1" applyFill="1" applyAlignment="1">
      <alignment horizontal="center" wrapText="1"/>
    </xf>
    <xf numFmtId="43" fontId="14" fillId="0" borderId="0" xfId="1" applyFont="1" applyFill="1" applyAlignment="1">
      <alignment horizontal="center" wrapText="1"/>
    </xf>
    <xf numFmtId="43" fontId="12" fillId="0" borderId="0" xfId="1" applyFont="1" applyFill="1" applyAlignment="1"/>
    <xf numFmtId="164" fontId="13" fillId="0" borderId="3" xfId="2" applyNumberFormat="1" applyFont="1" applyFill="1" applyBorder="1" applyAlignment="1">
      <alignment vertical="top"/>
    </xf>
    <xf numFmtId="164" fontId="14" fillId="2" borderId="0" xfId="1" applyNumberFormat="1" applyFont="1" applyFill="1" applyAlignment="1"/>
    <xf numFmtId="164" fontId="14" fillId="2" borderId="2" xfId="1" applyNumberFormat="1" applyFont="1" applyFill="1" applyBorder="1" applyAlignment="1"/>
    <xf numFmtId="164" fontId="14" fillId="2" borderId="3" xfId="2" applyNumberFormat="1" applyFont="1" applyFill="1" applyBorder="1" applyAlignment="1">
      <alignment vertical="top"/>
    </xf>
    <xf numFmtId="0" fontId="1" fillId="0" borderId="0" xfId="0" quotePrefix="1" applyFont="1">
      <alignment vertical="top"/>
    </xf>
    <xf numFmtId="0" fontId="1" fillId="0" borderId="0" xfId="0" applyFont="1">
      <alignment vertical="top"/>
    </xf>
    <xf numFmtId="10" fontId="0" fillId="0" borderId="0" xfId="33" applyNumberFormat="1" applyFont="1" applyAlignment="1">
      <alignment vertical="top"/>
    </xf>
    <xf numFmtId="164" fontId="3" fillId="0" borderId="0" xfId="0" applyNumberFormat="1" applyFont="1">
      <alignment vertical="top"/>
    </xf>
    <xf numFmtId="44" fontId="12" fillId="0" borderId="0" xfId="2" applyFont="1" applyFill="1" applyAlignment="1"/>
    <xf numFmtId="43" fontId="12" fillId="0" borderId="2" xfId="1" applyFont="1" applyFill="1" applyBorder="1" applyAlignment="1"/>
    <xf numFmtId="43" fontId="12" fillId="0" borderId="0" xfId="1" applyFont="1" applyFill="1">
      <alignment vertical="top"/>
    </xf>
    <xf numFmtId="43" fontId="12" fillId="0" borderId="2" xfId="1" applyFont="1" applyFill="1" applyBorder="1">
      <alignment vertical="top"/>
    </xf>
    <xf numFmtId="44" fontId="12" fillId="0" borderId="3" xfId="2" applyFont="1" applyFill="1" applyBorder="1" applyAlignment="1">
      <alignment vertical="top"/>
    </xf>
    <xf numFmtId="44" fontId="12" fillId="0" borderId="0" xfId="2" applyFont="1" applyFill="1" applyBorder="1" applyAlignment="1">
      <alignment vertical="top"/>
    </xf>
    <xf numFmtId="43" fontId="12" fillId="0" borderId="0" xfId="2" applyNumberFormat="1" applyFont="1" applyFill="1" applyAlignment="1"/>
    <xf numFmtId="0" fontId="12" fillId="0" borderId="0" xfId="0" applyFont="1" applyAlignment="1">
      <alignment horizontal="left" vertical="top"/>
    </xf>
    <xf numFmtId="43" fontId="12" fillId="0" borderId="0" xfId="1" applyFont="1" applyFill="1" applyBorder="1">
      <alignment vertical="top"/>
    </xf>
    <xf numFmtId="44" fontId="13" fillId="2" borderId="0" xfId="2" applyFont="1" applyFill="1" applyAlignment="1"/>
    <xf numFmtId="0" fontId="13" fillId="2" borderId="0" xfId="0" applyFont="1" applyFill="1">
      <alignment vertical="top"/>
    </xf>
    <xf numFmtId="43" fontId="13" fillId="2" borderId="0" xfId="1" applyFont="1" applyFill="1" applyBorder="1">
      <alignment vertical="top"/>
    </xf>
    <xf numFmtId="43" fontId="13" fillId="2" borderId="2" xfId="1" applyFont="1" applyFill="1" applyBorder="1" applyAlignment="1"/>
    <xf numFmtId="43" fontId="13" fillId="2" borderId="0" xfId="1" applyFont="1" applyFill="1">
      <alignment vertical="top"/>
    </xf>
    <xf numFmtId="43" fontId="12" fillId="2" borderId="2" xfId="1" applyFont="1" applyFill="1" applyBorder="1">
      <alignment vertical="top"/>
    </xf>
    <xf numFmtId="43" fontId="12" fillId="0" borderId="0" xfId="1" applyFont="1" applyFill="1" applyBorder="1" applyAlignment="1"/>
    <xf numFmtId="164" fontId="14" fillId="2" borderId="0" xfId="2" applyNumberFormat="1" applyFont="1" applyFill="1" applyAlignment="1"/>
    <xf numFmtId="164" fontId="13" fillId="2" borderId="0" xfId="1" applyNumberFormat="1" applyFont="1" applyFill="1" applyAlignment="1"/>
    <xf numFmtId="43" fontId="4" fillId="2" borderId="0" xfId="1" applyFont="1" applyFill="1" applyBorder="1">
      <alignment vertical="top"/>
    </xf>
    <xf numFmtId="0" fontId="3" fillId="0" borderId="0" xfId="0" applyFont="1" applyAlignment="1">
      <alignment horizontal="center" wrapText="1"/>
    </xf>
    <xf numFmtId="168" fontId="14" fillId="2" borderId="2" xfId="1" applyNumberFormat="1" applyFont="1" applyFill="1" applyBorder="1" applyAlignment="1"/>
    <xf numFmtId="44" fontId="12" fillId="0" borderId="0" xfId="2" applyFont="1" applyFill="1" applyBorder="1" applyAlignment="1"/>
    <xf numFmtId="43" fontId="12" fillId="0" borderId="0" xfId="2" applyNumberFormat="1" applyFont="1" applyFill="1" applyBorder="1" applyAlignment="1"/>
    <xf numFmtId="43" fontId="3" fillId="0" borderId="0" xfId="1" applyFont="1" applyAlignment="1">
      <alignment horizontal="center" wrapText="1"/>
    </xf>
    <xf numFmtId="164" fontId="12" fillId="0" borderId="0" xfId="2" applyNumberFormat="1" applyFont="1" applyFill="1" applyAlignment="1"/>
    <xf numFmtId="164" fontId="12" fillId="0" borderId="2" xfId="2" applyNumberFormat="1" applyFont="1" applyFill="1" applyBorder="1" applyAlignment="1"/>
    <xf numFmtId="164" fontId="12" fillId="0" borderId="0" xfId="1" applyNumberFormat="1" applyFont="1" applyFill="1" applyAlignment="1"/>
    <xf numFmtId="164" fontId="12" fillId="0" borderId="3" xfId="2" applyNumberFormat="1" applyFont="1" applyFill="1" applyBorder="1" applyAlignment="1">
      <alignment vertical="top"/>
    </xf>
    <xf numFmtId="164" fontId="12" fillId="0" borderId="2" xfId="1" applyNumberFormat="1" applyFont="1" applyFill="1" applyBorder="1" applyAlignment="1"/>
    <xf numFmtId="43" fontId="15" fillId="0" borderId="0" xfId="1" applyFont="1" applyFill="1" applyAlignment="1"/>
    <xf numFmtId="43" fontId="0" fillId="0" borderId="0" xfId="1" applyFont="1">
      <alignment vertical="top"/>
    </xf>
    <xf numFmtId="43" fontId="0" fillId="0" borderId="1" xfId="1" applyFont="1" applyBorder="1">
      <alignment vertical="top"/>
    </xf>
    <xf numFmtId="10" fontId="0" fillId="3" borderId="0" xfId="33" applyNumberFormat="1" applyFont="1" applyFill="1" applyAlignment="1">
      <alignment vertical="top"/>
    </xf>
    <xf numFmtId="0" fontId="16" fillId="0" borderId="0" xfId="0" applyFont="1" applyAlignment="1">
      <alignment horizontal="center"/>
    </xf>
    <xf numFmtId="0" fontId="12" fillId="0" borderId="0" xfId="0" applyFont="1" applyAlignment="1">
      <alignment horizontal="left" vertical="top" indent="1"/>
    </xf>
    <xf numFmtId="43" fontId="15" fillId="0" borderId="2" xfId="1" applyFont="1" applyFill="1" applyBorder="1" applyAlignment="1"/>
    <xf numFmtId="9" fontId="12" fillId="0" borderId="0" xfId="33" applyFont="1" applyFill="1" applyAlignment="1">
      <alignment vertical="top"/>
    </xf>
    <xf numFmtId="43" fontId="12" fillId="0" borderId="0" xfId="1" applyFont="1" applyFill="1" applyAlignment="1">
      <alignment horizontal="center" wrapText="1"/>
    </xf>
    <xf numFmtId="44" fontId="12" fillId="0" borderId="0" xfId="2" applyFont="1" applyFill="1" applyAlignment="1">
      <alignment vertical="top"/>
    </xf>
    <xf numFmtId="168" fontId="3" fillId="0" borderId="0" xfId="1" applyNumberFormat="1" applyFont="1">
      <alignment vertical="top"/>
    </xf>
    <xf numFmtId="43" fontId="13" fillId="0" borderId="2" xfId="1" applyFont="1" applyFill="1" applyBorder="1" applyAlignment="1"/>
    <xf numFmtId="43" fontId="13" fillId="0" borderId="2" xfId="1" applyFont="1" applyFill="1" applyBorder="1">
      <alignment vertical="top"/>
    </xf>
    <xf numFmtId="44" fontId="13" fillId="0" borderId="3" xfId="2" applyFont="1" applyFill="1" applyBorder="1" applyAlignment="1">
      <alignment vertical="top"/>
    </xf>
    <xf numFmtId="43" fontId="14" fillId="0" borderId="0" xfId="1" applyFont="1" applyFill="1" applyBorder="1" applyAlignment="1">
      <alignment horizontal="center" wrapText="1"/>
    </xf>
    <xf numFmtId="44" fontId="13" fillId="0" borderId="0" xfId="2" applyFont="1" applyFill="1" applyBorder="1" applyAlignment="1"/>
    <xf numFmtId="165" fontId="12" fillId="0" borderId="0" xfId="33" applyNumberFormat="1" applyFont="1" applyFill="1" applyAlignment="1">
      <alignment vertical="top"/>
    </xf>
    <xf numFmtId="43" fontId="0" fillId="0" borderId="0" xfId="1" applyFont="1" applyAlignment="1"/>
    <xf numFmtId="43" fontId="0" fillId="0" borderId="1" xfId="1" applyFont="1" applyBorder="1" applyAlignment="1"/>
    <xf numFmtId="0" fontId="0" fillId="0" borderId="0" xfId="0" applyAlignment="1"/>
    <xf numFmtId="0" fontId="5" fillId="0" borderId="0" xfId="0" applyFont="1">
      <alignment vertical="top"/>
    </xf>
    <xf numFmtId="0" fontId="19" fillId="0" borderId="1" xfId="0" applyFont="1" applyBorder="1" applyAlignment="1">
      <alignment horizontal="center" wrapText="1"/>
    </xf>
    <xf numFmtId="0" fontId="20" fillId="0" borderId="0" xfId="0" applyFont="1" applyAlignment="1">
      <alignment horizontal="left" wrapText="1"/>
    </xf>
    <xf numFmtId="0" fontId="21" fillId="0" borderId="0" xfId="0" applyFont="1" applyAlignment="1">
      <alignment horizontal="left" wrapText="1"/>
    </xf>
    <xf numFmtId="166" fontId="21" fillId="0" borderId="0" xfId="0" applyNumberFormat="1" applyFont="1" applyAlignment="1">
      <alignment horizontal="right" wrapText="1"/>
    </xf>
    <xf numFmtId="0" fontId="21" fillId="0" borderId="0" xfId="0" quotePrefix="1" applyFont="1" applyAlignment="1">
      <alignment horizontal="left" wrapText="1"/>
    </xf>
    <xf numFmtId="167" fontId="20" fillId="0" borderId="4" xfId="0" applyNumberFormat="1" applyFont="1" applyBorder="1" applyAlignment="1">
      <alignment horizontal="right" wrapText="1"/>
    </xf>
    <xf numFmtId="0" fontId="21" fillId="0" borderId="0" xfId="0" applyFont="1" applyAlignment="1">
      <alignment horizontal="right" wrapText="1"/>
    </xf>
    <xf numFmtId="167" fontId="20" fillId="2" borderId="4" xfId="0" applyNumberFormat="1" applyFont="1" applyFill="1" applyBorder="1" applyAlignment="1">
      <alignment horizontal="right" wrapText="1"/>
    </xf>
    <xf numFmtId="0" fontId="0" fillId="0" borderId="0" xfId="0" applyAlignment="1">
      <alignment horizontal="right"/>
    </xf>
    <xf numFmtId="9" fontId="22" fillId="0" borderId="0" xfId="33" applyFont="1" applyFill="1" applyAlignment="1">
      <alignment vertical="top"/>
    </xf>
    <xf numFmtId="9" fontId="22" fillId="0" borderId="0" xfId="0" applyNumberFormat="1" applyFont="1">
      <alignment vertical="top"/>
    </xf>
    <xf numFmtId="43" fontId="12" fillId="0" borderId="0" xfId="33" applyNumberFormat="1" applyFont="1" applyFill="1" applyAlignment="1">
      <alignment vertical="top"/>
    </xf>
    <xf numFmtId="43" fontId="12" fillId="0" borderId="0" xfId="1" applyFont="1" applyFill="1" applyAlignment="1">
      <alignment vertical="top"/>
    </xf>
    <xf numFmtId="169" fontId="0" fillId="0" borderId="0" xfId="1" applyNumberFormat="1" applyFont="1">
      <alignment vertical="top"/>
    </xf>
    <xf numFmtId="169" fontId="0" fillId="2" borderId="0" xfId="33" applyNumberFormat="1" applyFont="1" applyFill="1" applyAlignment="1">
      <alignment vertical="top"/>
    </xf>
    <xf numFmtId="10" fontId="0" fillId="0" borderId="0" xfId="33" applyNumberFormat="1" applyFont="1" applyFill="1" applyBorder="1" applyAlignment="1">
      <alignment vertical="top"/>
    </xf>
    <xf numFmtId="0" fontId="0" fillId="0" borderId="0" xfId="0" applyAlignment="1">
      <alignment horizontal="right" vertical="top"/>
    </xf>
    <xf numFmtId="43" fontId="0" fillId="0" borderId="0" xfId="1" applyFont="1" applyFill="1" applyBorder="1">
      <alignment vertical="top"/>
    </xf>
    <xf numFmtId="43" fontId="1" fillId="0" borderId="0" xfId="1" applyFont="1" applyAlignment="1">
      <alignment horizontal="right" vertical="top"/>
    </xf>
    <xf numFmtId="43" fontId="0" fillId="0" borderId="0" xfId="1" applyFont="1" applyAlignment="1">
      <alignment horizontal="right" vertical="top"/>
    </xf>
    <xf numFmtId="43" fontId="0" fillId="2" borderId="0" xfId="1" applyFont="1" applyFill="1" applyAlignment="1"/>
    <xf numFmtId="43" fontId="0" fillId="4" borderId="0" xfId="1" applyFont="1" applyFill="1" applyAlignment="1"/>
    <xf numFmtId="49" fontId="0" fillId="0" borderId="0" xfId="0" applyNumberFormat="1" applyAlignment="1">
      <alignment horizontal="right"/>
    </xf>
    <xf numFmtId="10" fontId="0" fillId="2" borderId="0" xfId="33" applyNumberFormat="1" applyFont="1" applyFill="1" applyAlignment="1">
      <alignment vertical="top"/>
    </xf>
    <xf numFmtId="164" fontId="14" fillId="0" borderId="0" xfId="2" applyNumberFormat="1" applyFont="1" applyFill="1" applyAlignment="1"/>
    <xf numFmtId="164" fontId="14" fillId="0" borderId="0" xfId="1" applyNumberFormat="1" applyFont="1" applyFill="1" applyAlignment="1"/>
    <xf numFmtId="164" fontId="14" fillId="0" borderId="2" xfId="1" applyNumberFormat="1" applyFont="1" applyFill="1" applyBorder="1" applyAlignment="1"/>
    <xf numFmtId="164" fontId="13" fillId="0" borderId="0" xfId="1" applyNumberFormat="1" applyFont="1" applyFill="1" applyAlignment="1"/>
    <xf numFmtId="43" fontId="4" fillId="0" borderId="0" xfId="1" applyFont="1" applyFill="1" applyBorder="1">
      <alignment vertical="top"/>
    </xf>
    <xf numFmtId="168" fontId="14" fillId="0" borderId="2" xfId="1" applyNumberFormat="1" applyFont="1" applyFill="1" applyBorder="1" applyAlignment="1"/>
    <xf numFmtId="164" fontId="14" fillId="0" borderId="3" xfId="2" applyNumberFormat="1" applyFont="1" applyFill="1" applyBorder="1" applyAlignment="1">
      <alignment vertical="top"/>
    </xf>
    <xf numFmtId="168" fontId="3" fillId="0" borderId="0" xfId="1" applyNumberFormat="1" applyFont="1" applyFill="1">
      <alignment vertical="top"/>
    </xf>
    <xf numFmtId="43" fontId="13" fillId="2" borderId="2" xfId="1" applyFont="1" applyFill="1" applyBorder="1">
      <alignment vertical="top"/>
    </xf>
    <xf numFmtId="0" fontId="23" fillId="0" borderId="0" xfId="91"/>
    <xf numFmtId="0" fontId="24" fillId="0" borderId="1" xfId="91" applyFont="1" applyBorder="1" applyAlignment="1">
      <alignment horizontal="center"/>
    </xf>
    <xf numFmtId="0" fontId="25" fillId="0" borderId="0" xfId="91" applyFont="1" applyAlignment="1">
      <alignment horizontal="left"/>
    </xf>
    <xf numFmtId="0" fontId="26" fillId="0" borderId="0" xfId="91" applyFont="1" applyAlignment="1">
      <alignment horizontal="left"/>
    </xf>
    <xf numFmtId="166" fontId="26" fillId="0" borderId="0" xfId="91" applyNumberFormat="1" applyFont="1" applyAlignment="1">
      <alignment horizontal="right"/>
    </xf>
    <xf numFmtId="0" fontId="26" fillId="0" borderId="0" xfId="91" quotePrefix="1" applyFont="1" applyAlignment="1">
      <alignment horizontal="left"/>
    </xf>
    <xf numFmtId="167" fontId="25" fillId="0" borderId="4" xfId="91" applyNumberFormat="1" applyFont="1" applyBorder="1" applyAlignment="1">
      <alignment horizontal="right"/>
    </xf>
    <xf numFmtId="43" fontId="0" fillId="0" borderId="0" xfId="0" applyNumberFormat="1">
      <alignment vertical="top"/>
    </xf>
    <xf numFmtId="43" fontId="0" fillId="5" borderId="0" xfId="1" applyFont="1" applyFill="1">
      <alignment vertical="top"/>
    </xf>
    <xf numFmtId="43" fontId="0" fillId="6" borderId="0" xfId="1" applyFont="1" applyFill="1">
      <alignment vertical="top"/>
    </xf>
    <xf numFmtId="167" fontId="25" fillId="7" borderId="4" xfId="91" applyNumberFormat="1" applyFont="1" applyFill="1" applyBorder="1" applyAlignment="1">
      <alignment horizontal="right"/>
    </xf>
    <xf numFmtId="43" fontId="0" fillId="7" borderId="0" xfId="1" applyFont="1" applyFill="1">
      <alignment vertical="top"/>
    </xf>
    <xf numFmtId="43" fontId="0" fillId="7" borderId="1" xfId="1" applyFont="1" applyFill="1" applyBorder="1">
      <alignment vertical="top"/>
    </xf>
    <xf numFmtId="170" fontId="0" fillId="2" borderId="0" xfId="0" applyNumberFormat="1" applyFill="1">
      <alignment vertical="top"/>
    </xf>
    <xf numFmtId="0" fontId="5" fillId="0" borderId="1" xfId="0" applyFont="1" applyBorder="1" applyAlignment="1">
      <alignment horizontal="center" vertical="top"/>
    </xf>
    <xf numFmtId="0" fontId="5" fillId="0" borderId="0" xfId="0" applyFont="1" applyAlignment="1">
      <alignment horizontal="center" vertical="top"/>
    </xf>
    <xf numFmtId="0" fontId="5" fillId="0" borderId="1" xfId="0" applyFont="1" applyBorder="1" applyAlignment="1">
      <alignment horizontal="center" vertical="top"/>
    </xf>
    <xf numFmtId="0" fontId="12" fillId="0" borderId="1" xfId="0" applyFont="1" applyBorder="1" applyAlignment="1">
      <alignment horizontal="center" vertical="top"/>
    </xf>
    <xf numFmtId="0" fontId="17" fillId="0" borderId="0" xfId="0" applyFont="1" applyAlignment="1">
      <alignment horizontal="center"/>
    </xf>
    <xf numFmtId="0" fontId="0" fillId="0" borderId="0" xfId="0" applyAlignment="1"/>
    <xf numFmtId="0" fontId="18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26" fillId="0" borderId="0" xfId="91" applyFont="1" applyAlignment="1">
      <alignment horizontal="center"/>
    </xf>
    <xf numFmtId="0" fontId="23" fillId="0" borderId="0" xfId="91"/>
    <xf numFmtId="0" fontId="27" fillId="0" borderId="0" xfId="91" applyFont="1" applyAlignment="1">
      <alignment horizontal="center"/>
    </xf>
    <xf numFmtId="0" fontId="28" fillId="0" borderId="0" xfId="91" applyFont="1" applyAlignment="1">
      <alignment horizontal="center"/>
    </xf>
  </cellXfs>
  <cellStyles count="92">
    <cellStyle name="Comma" xfId="1" builtinId="3"/>
    <cellStyle name="Comma 2" xfId="89" xr:uid="{DECAE932-7EC4-4551-A43B-1AC50FF863DA}"/>
    <cellStyle name="Currency" xfId="2" builtinId="4"/>
    <cellStyle name="Currency 2" xfId="90" xr:uid="{3342F67D-D833-464C-9782-5C25DED4B2A6}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4" builtinId="9" hidden="1"/>
    <cellStyle name="Followed Hyperlink" xfId="85" builtinId="9" hidden="1"/>
    <cellStyle name="Followed Hyperlink" xfId="86" builtinId="9" hidden="1"/>
    <cellStyle name="Followed Hyperlink" xfId="87" builtinId="9" hidden="1"/>
    <cellStyle name="Followed Hyperlink" xfId="88" builtinId="9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/>
    <cellStyle name="Normal" xfId="0" builtinId="0"/>
    <cellStyle name="Normal 2" xfId="91" xr:uid="{3D73F8B4-DD08-42C0-BCEB-E7B3B345F7BA}"/>
    <cellStyle name="Percent" xfId="33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  <mruColors>
      <color rgb="FFA1F478"/>
      <color rgb="FF64ED1F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49</xdr:col>
      <xdr:colOff>105833</xdr:colOff>
      <xdr:row>21</xdr:row>
      <xdr:rowOff>74084</xdr:rowOff>
    </xdr:from>
    <xdr:to>
      <xdr:col>49</xdr:col>
      <xdr:colOff>698500</xdr:colOff>
      <xdr:row>21</xdr:row>
      <xdr:rowOff>74084</xdr:rowOff>
    </xdr:to>
    <xdr:cxnSp macro="">
      <xdr:nvCxnSpPr>
        <xdr:cNvPr id="3" name="Straight Arrow Connector 2">
          <a:extLst>
            <a:ext uri="{FF2B5EF4-FFF2-40B4-BE49-F238E27FC236}">
              <a16:creationId xmlns:a16="http://schemas.microsoft.com/office/drawing/2014/main" id="{120D90C8-6A66-4CEB-A130-F1554CEC87BE}"/>
            </a:ext>
          </a:extLst>
        </xdr:cNvPr>
        <xdr:cNvCxnSpPr/>
      </xdr:nvCxnSpPr>
      <xdr:spPr>
        <a:xfrm flipH="1">
          <a:off x="21187833" y="4275667"/>
          <a:ext cx="592667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301336</xdr:colOff>
      <xdr:row>5</xdr:row>
      <xdr:rowOff>103909</xdr:rowOff>
    </xdr:from>
    <xdr:to>
      <xdr:col>5</xdr:col>
      <xdr:colOff>2381250</xdr:colOff>
      <xdr:row>5</xdr:row>
      <xdr:rowOff>107372</xdr:rowOff>
    </xdr:to>
    <xdr:cxnSp macro="">
      <xdr:nvCxnSpPr>
        <xdr:cNvPr id="4" name="Straight Arrow Connector 3">
          <a:extLst>
            <a:ext uri="{FF2B5EF4-FFF2-40B4-BE49-F238E27FC236}">
              <a16:creationId xmlns:a16="http://schemas.microsoft.com/office/drawing/2014/main" id="{97206191-0E20-492A-A8C8-7C24A293AAE4}"/>
            </a:ext>
          </a:extLst>
        </xdr:cNvPr>
        <xdr:cNvCxnSpPr/>
      </xdr:nvCxnSpPr>
      <xdr:spPr>
        <a:xfrm flipV="1">
          <a:off x="3981450" y="926523"/>
          <a:ext cx="5127914" cy="3463"/>
        </a:xfrm>
        <a:prstGeom prst="straightConnector1">
          <a:avLst/>
        </a:prstGeom>
        <a:ln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0</xdr:col>
      <xdr:colOff>2918114</xdr:colOff>
      <xdr:row>11</xdr:row>
      <xdr:rowOff>51955</xdr:rowOff>
    </xdr:from>
    <xdr:to>
      <xdr:col>0</xdr:col>
      <xdr:colOff>2918115</xdr:colOff>
      <xdr:row>14</xdr:row>
      <xdr:rowOff>8659</xdr:rowOff>
    </xdr:to>
    <xdr:cxnSp macro="">
      <xdr:nvCxnSpPr>
        <xdr:cNvPr id="6" name="Straight Arrow Connector 5">
          <a:extLst>
            <a:ext uri="{FF2B5EF4-FFF2-40B4-BE49-F238E27FC236}">
              <a16:creationId xmlns:a16="http://schemas.microsoft.com/office/drawing/2014/main" id="{D3755715-A20C-42E8-8DEF-36ABB27864CB}"/>
            </a:ext>
          </a:extLst>
        </xdr:cNvPr>
        <xdr:cNvCxnSpPr/>
      </xdr:nvCxnSpPr>
      <xdr:spPr>
        <a:xfrm flipH="1">
          <a:off x="2918114" y="1861705"/>
          <a:ext cx="1" cy="450272"/>
        </a:xfrm>
        <a:prstGeom prst="straightConnector1">
          <a:avLst/>
        </a:prstGeom>
        <a:ln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0</xdr:col>
      <xdr:colOff>3619499</xdr:colOff>
      <xdr:row>39</xdr:row>
      <xdr:rowOff>95250</xdr:rowOff>
    </xdr:from>
    <xdr:to>
      <xdr:col>1</xdr:col>
      <xdr:colOff>493567</xdr:colOff>
      <xdr:row>40</xdr:row>
      <xdr:rowOff>138546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76F7C235-CF52-44E4-A81C-DA91B24A1B0F}"/>
            </a:ext>
          </a:extLst>
        </xdr:cNvPr>
        <xdr:cNvSpPr/>
      </xdr:nvSpPr>
      <xdr:spPr>
        <a:xfrm>
          <a:off x="3619499" y="6511636"/>
          <a:ext cx="554182" cy="207819"/>
        </a:xfrm>
        <a:prstGeom prst="rect">
          <a:avLst/>
        </a:prstGeom>
        <a:solidFill>
          <a:srgbClr val="64ED1F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en-US" sz="1100"/>
        </a:p>
      </xdr:txBody>
    </xdr:sp>
    <xdr:clientData/>
  </xdr:twoCellAnchor>
  <xdr:twoCellAnchor editAs="oneCell">
    <xdr:from>
      <xdr:col>6</xdr:col>
      <xdr:colOff>406979</xdr:colOff>
      <xdr:row>0</xdr:row>
      <xdr:rowOff>0</xdr:rowOff>
    </xdr:from>
    <xdr:to>
      <xdr:col>13</xdr:col>
      <xdr:colOff>736023</xdr:colOff>
      <xdr:row>32</xdr:row>
      <xdr:rowOff>162848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EDDB5AF-7612-4E6F-9C93-DA32ADB068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442865" y="0"/>
          <a:ext cx="6407726" cy="54275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14</xdr:row>
      <xdr:rowOff>77931</xdr:rowOff>
    </xdr:from>
    <xdr:to>
      <xdr:col>2</xdr:col>
      <xdr:colOff>1082386</xdr:colOff>
      <xdr:row>52</xdr:row>
      <xdr:rowOff>109681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79306C70-36F8-4680-8377-68A3BE4E30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2381249"/>
          <a:ext cx="5524500" cy="628361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2</xdr:row>
      <xdr:rowOff>0</xdr:rowOff>
    </xdr:from>
    <xdr:to>
      <xdr:col>16</xdr:col>
      <xdr:colOff>568036</xdr:colOff>
      <xdr:row>2</xdr:row>
      <xdr:rowOff>3463</xdr:rowOff>
    </xdr:to>
    <xdr:cxnSp macro="">
      <xdr:nvCxnSpPr>
        <xdr:cNvPr id="2" name="Straight Arrow Connector 1">
          <a:extLst>
            <a:ext uri="{FF2B5EF4-FFF2-40B4-BE49-F238E27FC236}">
              <a16:creationId xmlns:a16="http://schemas.microsoft.com/office/drawing/2014/main" id="{08ACD493-04D1-42D2-B5F4-D807CAA01015}"/>
            </a:ext>
          </a:extLst>
        </xdr:cNvPr>
        <xdr:cNvCxnSpPr/>
      </xdr:nvCxnSpPr>
      <xdr:spPr>
        <a:xfrm flipV="1">
          <a:off x="4267200" y="323850"/>
          <a:ext cx="6054436" cy="3463"/>
        </a:xfrm>
        <a:prstGeom prst="straightConnector1">
          <a:avLst/>
        </a:prstGeom>
        <a:ln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4</xdr:col>
      <xdr:colOff>238125</xdr:colOff>
      <xdr:row>12</xdr:row>
      <xdr:rowOff>57150</xdr:rowOff>
    </xdr:from>
    <xdr:to>
      <xdr:col>4</xdr:col>
      <xdr:colOff>238126</xdr:colOff>
      <xdr:row>15</xdr:row>
      <xdr:rowOff>21647</xdr:rowOff>
    </xdr:to>
    <xdr:cxnSp macro="">
      <xdr:nvCxnSpPr>
        <xdr:cNvPr id="3" name="Straight Arrow Connector 2">
          <a:extLst>
            <a:ext uri="{FF2B5EF4-FFF2-40B4-BE49-F238E27FC236}">
              <a16:creationId xmlns:a16="http://schemas.microsoft.com/office/drawing/2014/main" id="{3A508355-2B6B-4519-9ED5-1FB1F1BD988E}"/>
            </a:ext>
          </a:extLst>
        </xdr:cNvPr>
        <xdr:cNvCxnSpPr/>
      </xdr:nvCxnSpPr>
      <xdr:spPr>
        <a:xfrm flipH="1">
          <a:off x="2676525" y="2000250"/>
          <a:ext cx="1" cy="450272"/>
        </a:xfrm>
        <a:prstGeom prst="straightConnector1">
          <a:avLst/>
        </a:prstGeom>
        <a:ln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 editAs="oneCell">
    <xdr:from>
      <xdr:col>17</xdr:col>
      <xdr:colOff>561974</xdr:colOff>
      <xdr:row>0</xdr:row>
      <xdr:rowOff>0</xdr:rowOff>
    </xdr:from>
    <xdr:to>
      <xdr:col>25</xdr:col>
      <xdr:colOff>257174</xdr:colOff>
      <xdr:row>33</xdr:row>
      <xdr:rowOff>130859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2622D59A-D69F-087A-FB0B-64E74F53F1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925174" y="0"/>
          <a:ext cx="4962525" cy="547438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15</xdr:row>
      <xdr:rowOff>85726</xdr:rowOff>
    </xdr:from>
    <xdr:to>
      <xdr:col>8</xdr:col>
      <xdr:colOff>125674</xdr:colOff>
      <xdr:row>39</xdr:row>
      <xdr:rowOff>104776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7A126F57-7BA5-6E97-CA39-D344510D1C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2514601"/>
          <a:ext cx="5002474" cy="39052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40</xdr:row>
      <xdr:rowOff>66675</xdr:rowOff>
    </xdr:from>
    <xdr:to>
      <xdr:col>9</xdr:col>
      <xdr:colOff>108850</xdr:colOff>
      <xdr:row>61</xdr:row>
      <xdr:rowOff>132792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1C2B533A-FA24-7012-BA33-0391501494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6543675"/>
          <a:ext cx="5595250" cy="34665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https://drive.google.com/drive/folders/1qkPwKuNjebu9ZBvSvo4Yro1bOVxqaMA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outlinePr summaryBelow="0" summaryRight="0"/>
    <pageSetUpPr autoPageBreaks="0" fitToPage="1"/>
  </sheetPr>
  <dimension ref="A2:O42"/>
  <sheetViews>
    <sheetView showGridLines="0" tabSelected="1" showOutlineSymbols="0" zoomScale="110" zoomScaleNormal="110" workbookViewId="0">
      <pane xSplit="1" ySplit="6" topLeftCell="D20" activePane="bottomRight" state="frozen"/>
      <selection pane="topRight" activeCell="B1" sqref="B1"/>
      <selection pane="bottomLeft" activeCell="A7" sqref="A7"/>
      <selection pane="bottomRight" activeCell="N18" sqref="N18"/>
    </sheetView>
  </sheetViews>
  <sheetFormatPr defaultColWidth="10" defaultRowHeight="12.75" customHeight="1"/>
  <cols>
    <col min="1" max="1" width="44.44140625" style="1" customWidth="1"/>
    <col min="2" max="2" width="2.6640625" style="3" customWidth="1"/>
    <col min="3" max="3" width="17.33203125" style="1" customWidth="1"/>
    <col min="4" max="4" width="13.5546875" style="1" bestFit="1" customWidth="1"/>
    <col min="5" max="5" width="3.88671875" style="1" customWidth="1"/>
    <col min="6" max="7" width="16.88671875" style="3" customWidth="1"/>
    <col min="8" max="8" width="4" style="1" customWidth="1"/>
    <col min="9" max="9" width="16.88671875" style="3" customWidth="1"/>
    <col min="10" max="10" width="23.109375" style="1" bestFit="1" customWidth="1"/>
    <col min="11" max="11" width="3.33203125" style="1" customWidth="1"/>
    <col min="12" max="12" width="18.5546875" style="1" customWidth="1"/>
    <col min="13" max="13" width="3" style="1" customWidth="1"/>
    <col min="14" max="14" width="18.5546875" style="1" customWidth="1"/>
    <col min="15" max="16384" width="10" style="1"/>
  </cols>
  <sheetData>
    <row r="2" spans="1:14" ht="23.1" customHeight="1">
      <c r="A2" s="174" t="s">
        <v>18</v>
      </c>
      <c r="B2" s="174"/>
      <c r="C2" s="174"/>
      <c r="D2" s="174"/>
      <c r="E2" s="174"/>
      <c r="F2" s="174"/>
      <c r="G2" s="174"/>
      <c r="H2" s="174"/>
      <c r="I2" s="10"/>
    </row>
    <row r="3" spans="1:14" ht="23.1" customHeight="1">
      <c r="A3" s="10"/>
      <c r="B3"/>
      <c r="C3"/>
      <c r="D3"/>
      <c r="E3" s="5"/>
      <c r="F3" s="1"/>
      <c r="G3" s="1"/>
      <c r="H3"/>
      <c r="I3" s="1"/>
    </row>
    <row r="4" spans="1:14" ht="23.1" customHeight="1">
      <c r="A4" s="2"/>
      <c r="B4" s="5"/>
      <c r="F4" s="1"/>
      <c r="G4" s="1"/>
      <c r="I4" s="1"/>
    </row>
    <row r="5" spans="1:14" ht="23.1" customHeight="1">
      <c r="A5" s="2"/>
      <c r="B5" s="5"/>
      <c r="C5" s="175">
        <v>2021</v>
      </c>
      <c r="D5" s="175"/>
      <c r="F5" s="175">
        <v>2022</v>
      </c>
      <c r="G5" s="175"/>
      <c r="H5" s="125"/>
      <c r="I5" s="175">
        <v>2023</v>
      </c>
      <c r="J5" s="175"/>
      <c r="L5" s="173">
        <v>2024</v>
      </c>
      <c r="N5" s="173">
        <v>2024</v>
      </c>
    </row>
    <row r="6" spans="1:14" s="4" customFormat="1" ht="28.35" customHeight="1">
      <c r="B6" s="6"/>
      <c r="C6" s="99" t="s">
        <v>16</v>
      </c>
      <c r="D6" s="11" t="s">
        <v>23</v>
      </c>
      <c r="F6" s="95" t="s">
        <v>16</v>
      </c>
      <c r="G6" s="95" t="s">
        <v>64</v>
      </c>
      <c r="I6" s="95" t="s">
        <v>16</v>
      </c>
      <c r="J6" s="95" t="s">
        <v>64</v>
      </c>
      <c r="L6" s="95" t="s">
        <v>275</v>
      </c>
      <c r="N6" s="95" t="s">
        <v>276</v>
      </c>
    </row>
    <row r="7" spans="1:14" ht="12.75" customHeight="1">
      <c r="A7" s="12"/>
      <c r="B7" s="13"/>
      <c r="C7" s="12"/>
      <c r="D7" s="14"/>
      <c r="F7" s="1"/>
      <c r="G7" s="1"/>
      <c r="I7" s="1"/>
    </row>
    <row r="8" spans="1:14" ht="12.75" customHeight="1">
      <c r="A8" s="12" t="s">
        <v>11</v>
      </c>
      <c r="B8" s="18"/>
      <c r="C8" s="100">
        <f>+'Historical Financials + Budgets'!AL8</f>
        <v>865295.18999999948</v>
      </c>
      <c r="D8" s="100">
        <f>+'Historical Financials + Budgets'!AN8</f>
        <v>865295.18999999948</v>
      </c>
      <c r="F8" s="150">
        <f>+'Historical Financials + Budgets'!AP8</f>
        <v>307059.21999999951</v>
      </c>
      <c r="G8" s="150">
        <f>+'Historical Financials + Budgets'!AQ8</f>
        <v>307059.21999999951</v>
      </c>
      <c r="I8" s="150">
        <f>+'Historical Financials + Budgets'!AS8</f>
        <v>337932.5899999995</v>
      </c>
      <c r="J8" s="150">
        <f>+'Historical Financials + Budgets'!AT8</f>
        <v>337932.5899999995</v>
      </c>
      <c r="L8" s="92">
        <f>+'Historical Financials + Budgets'!AV8</f>
        <v>588336.67999999935</v>
      </c>
      <c r="N8" s="92">
        <f>+'Historical Financials + Budgets'!AW8</f>
        <v>588336.67999999935</v>
      </c>
    </row>
    <row r="9" spans="1:14" ht="12.75" customHeight="1">
      <c r="A9" s="12" t="str">
        <f>'Historical Financials + Budgets'!A9</f>
        <v>Estimated Beginning Permanent Fund Balance</v>
      </c>
      <c r="B9" s="18"/>
      <c r="C9" s="100">
        <f>+'Historical Financials + Budgets'!AL9</f>
        <v>1507526.45</v>
      </c>
      <c r="D9" s="100">
        <f>+'Historical Financials + Budgets'!AN9</f>
        <v>1507526.45</v>
      </c>
      <c r="F9" s="150">
        <f>+'Historical Financials + Budgets'!AP9</f>
        <v>1688559.82</v>
      </c>
      <c r="G9" s="150">
        <f>+'Historical Financials + Budgets'!AQ9</f>
        <v>1688559.82</v>
      </c>
      <c r="I9" s="150">
        <f>+'Historical Financials + Budgets'!AS9</f>
        <v>1802252.2450000001</v>
      </c>
      <c r="J9" s="150">
        <f>+'Historical Financials + Budgets'!AT9</f>
        <v>1802252.2450000001</v>
      </c>
      <c r="L9" s="92">
        <f>+'Historical Financials + Budgets'!AV9</f>
        <v>1915301.2066666668</v>
      </c>
      <c r="N9" s="92">
        <f>+'Historical Financials + Budgets'!AW9</f>
        <v>1915301.2066666668</v>
      </c>
    </row>
    <row r="10" spans="1:14" ht="12.75" customHeight="1">
      <c r="A10" s="12"/>
      <c r="B10" s="20"/>
      <c r="C10" s="100"/>
      <c r="D10" s="102"/>
      <c r="F10" s="151"/>
      <c r="G10" s="151"/>
      <c r="I10" s="151"/>
      <c r="J10" s="151"/>
      <c r="L10" s="69"/>
      <c r="N10" s="69"/>
    </row>
    <row r="11" spans="1:14" ht="14.4">
      <c r="A11" s="21" t="s">
        <v>9</v>
      </c>
      <c r="B11" s="20"/>
      <c r="C11" s="100"/>
      <c r="D11" s="102"/>
      <c r="F11" s="151"/>
      <c r="G11" s="151"/>
      <c r="I11" s="151"/>
      <c r="J11" s="151"/>
      <c r="L11" s="69"/>
      <c r="N11" s="69"/>
    </row>
    <row r="12" spans="1:14" ht="15" thickBot="1">
      <c r="A12" s="12" t="s">
        <v>6</v>
      </c>
      <c r="B12" s="20"/>
      <c r="C12" s="101">
        <f>+'Historical Financials + Budgets'!AL13</f>
        <v>554477</v>
      </c>
      <c r="D12" s="104">
        <f>+'Historical Financials + Budgets'!AN13</f>
        <v>493224.26</v>
      </c>
      <c r="F12" s="152">
        <f>+'Historical Financials + Budgets'!AP13</f>
        <v>583630.17725881701</v>
      </c>
      <c r="G12" s="152">
        <f>+'Historical Financials + Budgets'!AQ13</f>
        <v>725629.82</v>
      </c>
      <c r="I12" s="152">
        <f>+'Historical Financials + Budgets'!AS13</f>
        <v>858634.691794932</v>
      </c>
      <c r="J12" s="152">
        <f>+'Historical Financials + Budgets'!AT13</f>
        <v>1133116.23</v>
      </c>
      <c r="L12" s="70">
        <f>+'Historical Financials + Budgets'!AV13</f>
        <v>730457.89484903216</v>
      </c>
      <c r="N12" s="70">
        <f>+'Historical Financials + Budgets'!AW13</f>
        <v>730457.89484903216</v>
      </c>
    </row>
    <row r="13" spans="1:14" ht="13.8">
      <c r="A13" s="22" t="s">
        <v>0</v>
      </c>
      <c r="B13" s="20"/>
      <c r="C13" s="102">
        <f>C12</f>
        <v>554477</v>
      </c>
      <c r="D13" s="102">
        <f>+D12</f>
        <v>493224.26</v>
      </c>
      <c r="F13" s="153">
        <f>+F12</f>
        <v>583630.17725881701</v>
      </c>
      <c r="G13" s="153">
        <f>+G12</f>
        <v>725629.82</v>
      </c>
      <c r="I13" s="153">
        <f>+I12</f>
        <v>858634.691794932</v>
      </c>
      <c r="J13" s="153">
        <f>+J12</f>
        <v>1133116.23</v>
      </c>
      <c r="L13" s="93">
        <f>+L12</f>
        <v>730457.89484903216</v>
      </c>
      <c r="N13" s="93">
        <f>+N12</f>
        <v>730457.89484903216</v>
      </c>
    </row>
    <row r="14" spans="1:14" ht="14.4">
      <c r="A14" s="12"/>
      <c r="B14" s="20"/>
      <c r="C14" s="102"/>
      <c r="D14" s="102"/>
      <c r="F14" s="151"/>
      <c r="G14" s="151"/>
      <c r="I14" s="151"/>
      <c r="J14" s="151"/>
      <c r="L14" s="69"/>
      <c r="N14" s="69"/>
    </row>
    <row r="15" spans="1:14" ht="14.4">
      <c r="A15" s="21" t="s">
        <v>10</v>
      </c>
      <c r="B15" s="20"/>
      <c r="C15" s="102"/>
      <c r="D15" s="102"/>
      <c r="F15" s="151"/>
      <c r="G15" s="151"/>
      <c r="I15" s="151"/>
      <c r="J15" s="151"/>
      <c r="L15" s="69"/>
      <c r="N15" s="69"/>
    </row>
    <row r="16" spans="1:14" ht="14.4">
      <c r="A16" s="12" t="s">
        <v>1</v>
      </c>
      <c r="B16" s="20"/>
      <c r="C16" s="102">
        <f>+'Historical Financials + Budgets'!AL17</f>
        <v>3000</v>
      </c>
      <c r="D16" s="102">
        <f>+'Historical Financials + Budgets'!AN17</f>
        <v>1849.41</v>
      </c>
      <c r="F16" s="151">
        <f>+'Historical Financials + Budgets'!AP17</f>
        <v>3000</v>
      </c>
      <c r="G16" s="151">
        <f>+'Historical Financials + Budgets'!AQ17</f>
        <v>1078.3799999999999</v>
      </c>
      <c r="I16" s="151">
        <f>+'Historical Financials + Budgets'!AS17</f>
        <v>3000</v>
      </c>
      <c r="J16" s="151">
        <f>+'Historical Financials + Budgets'!AT17</f>
        <v>1061.44</v>
      </c>
      <c r="L16" s="69">
        <f>+'Historical Financials + Budgets'!AV17</f>
        <v>3000</v>
      </c>
      <c r="N16" s="69">
        <f>+'Historical Financials + Budgets'!AW17</f>
        <v>3000</v>
      </c>
    </row>
    <row r="17" spans="1:15" ht="14.4">
      <c r="A17" s="12" t="s">
        <v>2</v>
      </c>
      <c r="B17" s="20"/>
      <c r="C17" s="102">
        <f>+'Historical Financials + Budgets'!AL18</f>
        <v>3800</v>
      </c>
      <c r="D17" s="102">
        <f>+'Historical Financials + Budgets'!AN18</f>
        <v>4000</v>
      </c>
      <c r="F17" s="151">
        <f>+'Historical Financials + Budgets'!AP18</f>
        <v>3800</v>
      </c>
      <c r="G17" s="151">
        <f>+'Historical Financials + Budgets'!AQ18</f>
        <v>3500</v>
      </c>
      <c r="I17" s="151">
        <f>+'Historical Financials + Budgets'!AS18</f>
        <v>3800</v>
      </c>
      <c r="J17" s="151">
        <f>+'Historical Financials + Budgets'!AT18</f>
        <v>3735</v>
      </c>
      <c r="L17" s="69">
        <f>+'Historical Financials + Budgets'!AV18</f>
        <v>4000</v>
      </c>
      <c r="N17" s="69">
        <f>+'Historical Financials + Budgets'!AW18</f>
        <v>4000</v>
      </c>
    </row>
    <row r="18" spans="1:15" ht="14.4">
      <c r="A18" s="12" t="s">
        <v>3</v>
      </c>
      <c r="B18" s="20"/>
      <c r="C18" s="102">
        <f>+'Historical Financials + Budgets'!AL19</f>
        <v>42500</v>
      </c>
      <c r="D18" s="102">
        <f>+'Historical Financials + Budgets'!AN19</f>
        <v>43009.82</v>
      </c>
      <c r="F18" s="151">
        <f>+'Historical Financials + Budgets'!AP19</f>
        <v>42500</v>
      </c>
      <c r="G18" s="151">
        <f>+'Historical Financials + Budgets'!AQ19</f>
        <v>39639.07</v>
      </c>
      <c r="I18" s="151">
        <f>+'Historical Financials + Budgets'!AS19</f>
        <v>57100</v>
      </c>
      <c r="J18" s="151">
        <f>+'Historical Financials + Budgets'!AT19</f>
        <v>50223.7</v>
      </c>
      <c r="L18" s="69">
        <f>+'Historical Financials + Budgets'!AV19</f>
        <v>57100</v>
      </c>
      <c r="N18" s="69">
        <f>+'Historical Financials + Budgets'!AW19</f>
        <v>60000</v>
      </c>
    </row>
    <row r="19" spans="1:15" ht="14.4">
      <c r="A19" s="12" t="s">
        <v>5</v>
      </c>
      <c r="B19" s="20"/>
      <c r="C19" s="102">
        <f>+'Historical Financials + Budgets'!AL20</f>
        <v>2500</v>
      </c>
      <c r="D19" s="102">
        <f>+'Historical Financials + Budgets'!AN20</f>
        <v>2601</v>
      </c>
      <c r="F19" s="151">
        <f>+'Historical Financials + Budgets'!AP20</f>
        <v>2500</v>
      </c>
      <c r="G19" s="151">
        <f>+'Historical Financials + Budgets'!AQ20</f>
        <v>2539</v>
      </c>
      <c r="I19" s="151">
        <f>+'Historical Financials + Budgets'!AS20</f>
        <v>2500</v>
      </c>
      <c r="J19" s="151">
        <f>+'Historical Financials + Budgets'!AT20</f>
        <v>2692</v>
      </c>
      <c r="L19" s="69">
        <f>+'Historical Financials + Budgets'!AV20</f>
        <v>2900</v>
      </c>
      <c r="N19" s="69">
        <f>+'Historical Financials + Budgets'!AW20</f>
        <v>2900</v>
      </c>
    </row>
    <row r="20" spans="1:15" ht="14.4">
      <c r="A20" s="12" t="s">
        <v>4</v>
      </c>
      <c r="B20" s="20"/>
      <c r="C20" s="102">
        <f>+'Historical Financials + Budgets'!AL21</f>
        <v>0</v>
      </c>
      <c r="D20" s="102">
        <f>+'Historical Financials + Budgets'!AN21</f>
        <v>0</v>
      </c>
      <c r="F20" s="151">
        <f>+'Historical Financials + Budgets'!AP21</f>
        <v>0</v>
      </c>
      <c r="G20" s="151">
        <f>+'Historical Financials + Budgets'!AQ21</f>
        <v>0</v>
      </c>
      <c r="I20" s="151">
        <f>+'Historical Financials + Budgets'!AS21</f>
        <v>0</v>
      </c>
      <c r="J20" s="151">
        <f>+'Historical Financials + Budgets'!AT21</f>
        <v>0</v>
      </c>
      <c r="L20" s="69">
        <f>+'Historical Financials + Budgets'!AV21</f>
        <v>0</v>
      </c>
      <c r="N20" s="69">
        <f>+'Historical Financials + Budgets'!AY21</f>
        <v>0</v>
      </c>
    </row>
    <row r="21" spans="1:15" ht="14.4">
      <c r="A21" s="12" t="s">
        <v>26</v>
      </c>
      <c r="B21" s="20"/>
      <c r="C21" s="102">
        <f>+'Historical Financials + Budgets'!AL22</f>
        <v>100000</v>
      </c>
      <c r="D21" s="102">
        <f>+'Historical Financials + Budgets'!AN22</f>
        <v>100000</v>
      </c>
      <c r="F21" s="151">
        <f>+'Historical Financials + Budgets'!AP22</f>
        <v>100000</v>
      </c>
      <c r="G21" s="151">
        <f>+'Historical Financials + Budgets'!AQ22</f>
        <v>100000</v>
      </c>
      <c r="I21" s="151">
        <f>+'Historical Financials + Budgets'!AS22</f>
        <v>125000</v>
      </c>
      <c r="J21" s="151">
        <f>+'Historical Financials + Budgets'!AT22</f>
        <v>125000</v>
      </c>
      <c r="L21" s="69">
        <f>+'Historical Financials + Budgets'!AV22</f>
        <v>500000</v>
      </c>
      <c r="N21" s="69">
        <f>+'Historical Financials + Budgets'!AW22</f>
        <v>250000</v>
      </c>
    </row>
    <row r="22" spans="1:15" ht="14.4">
      <c r="A22" s="12" t="s">
        <v>61</v>
      </c>
      <c r="B22" s="20"/>
      <c r="C22" s="102">
        <f>+'Historical Financials + Budgets'!AL23</f>
        <v>0</v>
      </c>
      <c r="D22" s="102">
        <f>+'Historical Financials + Budgets'!AN23</f>
        <v>0</v>
      </c>
      <c r="F22" s="151">
        <f>+'Historical Financials + Budgets'!AP23</f>
        <v>0</v>
      </c>
      <c r="G22" s="151">
        <f>+'Historical Financials + Budgets'!AQ23</f>
        <v>0</v>
      </c>
      <c r="I22" s="151">
        <f>+'Historical Financials + Budgets'!AS23</f>
        <v>0</v>
      </c>
      <c r="J22" s="151">
        <f>+'Historical Financials + Budgets'!AT23</f>
        <v>0</v>
      </c>
      <c r="L22" s="69">
        <f>+'Historical Financials + Budgets'!AV23</f>
        <v>0</v>
      </c>
      <c r="N22" s="69">
        <f>+'Historical Financials + Budgets'!AW23</f>
        <v>0</v>
      </c>
    </row>
    <row r="23" spans="1:15" ht="14.4">
      <c r="A23" s="12" t="s">
        <v>63</v>
      </c>
      <c r="B23" s="20"/>
      <c r="C23" s="102">
        <f>+'Historical Financials + Budgets'!AL24</f>
        <v>0</v>
      </c>
      <c r="D23" s="102">
        <f>+'Historical Financials + Budgets'!AN24</f>
        <v>0</v>
      </c>
      <c r="F23" s="151">
        <f>+'Historical Financials + Budgets'!AP24</f>
        <v>0</v>
      </c>
      <c r="G23" s="151">
        <f>+'Historical Financials + Budgets'!AQ24</f>
        <v>0</v>
      </c>
      <c r="I23" s="151">
        <f>+'Historical Financials + Budgets'!AS24</f>
        <v>0</v>
      </c>
      <c r="J23" s="151">
        <f>+'Historical Financials + Budgets'!AT24</f>
        <v>0</v>
      </c>
      <c r="L23" s="69">
        <f>+'Historical Financials + Budgets'!AV24</f>
        <v>0</v>
      </c>
      <c r="N23" s="69">
        <f>+'Historical Financials + Budgets'!AW24</f>
        <v>0</v>
      </c>
    </row>
    <row r="24" spans="1:15" ht="14.4">
      <c r="A24" s="12" t="s">
        <v>15</v>
      </c>
      <c r="B24" s="20"/>
      <c r="C24" s="102">
        <f>+'Historical Financials + Budgets'!AL25</f>
        <v>0</v>
      </c>
      <c r="D24" s="102">
        <f>+'Historical Financials + Budgets'!AN25</f>
        <v>0</v>
      </c>
      <c r="F24" s="151">
        <f>+'Historical Financials + Budgets'!AP25</f>
        <v>0</v>
      </c>
      <c r="G24" s="151">
        <f>+'Historical Financials + Budgets'!AQ25</f>
        <v>0</v>
      </c>
      <c r="I24" s="151">
        <f>+'Historical Financials + Budgets'!AS25</f>
        <v>0</v>
      </c>
      <c r="J24" s="151">
        <f>+'Historical Financials + Budgets'!AT25</f>
        <v>0</v>
      </c>
      <c r="L24" s="69">
        <f>+'Historical Financials + Budgets'!AV25</f>
        <v>0</v>
      </c>
      <c r="N24" s="69">
        <f>+'Historical Financials + Budgets'!AW25</f>
        <v>0</v>
      </c>
    </row>
    <row r="25" spans="1:15" ht="14.4">
      <c r="A25" s="12" t="s">
        <v>13</v>
      </c>
      <c r="B25" s="20"/>
      <c r="C25" s="102">
        <f>+'Historical Financials + Budgets'!AL26</f>
        <v>0</v>
      </c>
      <c r="D25" s="102">
        <f>+'Historical Financials + Budgets'!AN26</f>
        <v>350000</v>
      </c>
      <c r="F25" s="151">
        <f>+'Historical Financials + Budgets'!AP26</f>
        <v>200000</v>
      </c>
      <c r="G25" s="151">
        <f>+'Historical Financials + Budgets'!AQ26</f>
        <v>200000</v>
      </c>
      <c r="I25" s="151">
        <f>+'Historical Financials + Budgets'!AS26</f>
        <v>350000</v>
      </c>
      <c r="J25" s="151">
        <f>+'Historical Financials + Budgets'!AT26</f>
        <v>0</v>
      </c>
      <c r="L25" s="69">
        <f>+'Historical Financials + Budgets'!AV26</f>
        <v>0</v>
      </c>
      <c r="N25" s="69">
        <f>+'Historical Financials + Budgets'!AW26</f>
        <v>0</v>
      </c>
    </row>
    <row r="26" spans="1:15" ht="14.4">
      <c r="A26" s="12" t="s">
        <v>14</v>
      </c>
      <c r="B26" s="20"/>
      <c r="C26" s="102">
        <f>+'Historical Financials + Budgets'!AL27</f>
        <v>0</v>
      </c>
      <c r="D26" s="102">
        <f>+'Historical Financials + Budgets'!AN27</f>
        <v>550000</v>
      </c>
      <c r="F26" s="151">
        <f>+'Historical Financials + Budgets'!AP27</f>
        <v>0</v>
      </c>
      <c r="G26" s="151">
        <f>+'Historical Financials + Budgets'!AQ27</f>
        <v>350000</v>
      </c>
      <c r="I26" s="151">
        <f>+'Historical Financials + Budgets'!AS27</f>
        <v>0</v>
      </c>
      <c r="J26" s="151">
        <f>+'Historical Financials + Budgets'!AT27</f>
        <v>700000</v>
      </c>
      <c r="L26" s="69">
        <f>+'Historical Financials + Budgets'!AV27</f>
        <v>0</v>
      </c>
      <c r="N26" s="69">
        <f>+'Historical Financials + Budgets'!AW27</f>
        <v>0</v>
      </c>
    </row>
    <row r="27" spans="1:15" ht="14.4">
      <c r="A27" s="83" t="s">
        <v>66</v>
      </c>
      <c r="B27" s="20"/>
      <c r="C27" s="102">
        <f>+'Historical Financials + Budgets'!AL28</f>
        <v>0</v>
      </c>
      <c r="D27" s="102">
        <f>+'Historical Financials + Budgets'!AN28</f>
        <v>0</v>
      </c>
      <c r="F27" s="151">
        <f>+'Historical Financials + Budgets'!AP28</f>
        <v>0</v>
      </c>
      <c r="G27" s="151">
        <f>+'Historical Financials + Budgets'!AQ28</f>
        <v>-2000</v>
      </c>
      <c r="I27" s="151">
        <f>+'Historical Financials + Budgets'!AS28</f>
        <v>0</v>
      </c>
      <c r="J27" s="151">
        <f>+'Historical Financials + Budgets'!AT28</f>
        <v>0</v>
      </c>
      <c r="L27" s="69">
        <f>+'Historical Financials + Budgets'!AV28</f>
        <v>0</v>
      </c>
      <c r="N27" s="69">
        <f>+'Historical Financials + Budgets'!AW28</f>
        <v>0</v>
      </c>
    </row>
    <row r="28" spans="1:15" ht="15" thickBot="1">
      <c r="A28" s="83" t="s">
        <v>24</v>
      </c>
      <c r="B28" s="20"/>
      <c r="C28" s="104">
        <f>+'Historical Financials + Budgets'!AL29</f>
        <v>400000</v>
      </c>
      <c r="D28" s="104">
        <f>+'Historical Financials + Budgets'!AN29</f>
        <v>0</v>
      </c>
      <c r="F28" s="152">
        <f>+'Historical Financials + Budgets'!AP29</f>
        <v>0</v>
      </c>
      <c r="G28" s="152">
        <f>+'Historical Financials + Budgets'!AQ29</f>
        <v>0</v>
      </c>
      <c r="I28" s="152">
        <f>+'Historical Financials + Budgets'!AS29</f>
        <v>350000</v>
      </c>
      <c r="J28" s="152">
        <f>+'Historical Financials + Budgets'!AT29</f>
        <v>0</v>
      </c>
      <c r="L28" s="70">
        <f>+'Historical Financials + Budgets'!AV29</f>
        <v>450000</v>
      </c>
      <c r="N28" s="70">
        <f>+'Historical Financials + Budgets'!AW29</f>
        <v>700000</v>
      </c>
      <c r="O28" s="75"/>
    </row>
    <row r="29" spans="1:15" ht="14.4">
      <c r="A29" s="22" t="s">
        <v>31</v>
      </c>
      <c r="B29" s="24"/>
      <c r="C29" s="102">
        <f>SUM(C16:C28)</f>
        <v>551800</v>
      </c>
      <c r="D29" s="102">
        <f>+SUM(D16:D28)</f>
        <v>1051460.23</v>
      </c>
      <c r="F29" s="151">
        <f>+SUM(F16:F28)</f>
        <v>351800</v>
      </c>
      <c r="G29" s="151">
        <f>+SUM(G16:G28)</f>
        <v>694756.45</v>
      </c>
      <c r="I29" s="151">
        <f>+SUM(I16:I28)</f>
        <v>891400</v>
      </c>
      <c r="J29" s="151">
        <f>+SUM(J16:J28)</f>
        <v>882712.14</v>
      </c>
      <c r="L29" s="69">
        <f>+SUM(L16:L28)</f>
        <v>1017000</v>
      </c>
      <c r="N29" s="69">
        <f>+SUM(N16:N28)</f>
        <v>1019900</v>
      </c>
      <c r="O29" s="75"/>
    </row>
    <row r="30" spans="1:15" ht="14.4">
      <c r="A30" s="22"/>
      <c r="B30" s="24"/>
      <c r="C30" s="102"/>
      <c r="D30" s="102"/>
      <c r="F30" s="151"/>
      <c r="G30" s="151"/>
      <c r="I30" s="151"/>
      <c r="J30" s="151"/>
      <c r="L30" s="69"/>
      <c r="N30" s="69"/>
      <c r="O30" s="75"/>
    </row>
    <row r="31" spans="1:15" ht="14.4">
      <c r="A31" s="22"/>
      <c r="B31" s="24"/>
      <c r="C31" s="102"/>
      <c r="D31" s="102"/>
      <c r="F31" s="151"/>
      <c r="G31" s="151"/>
      <c r="I31" s="151"/>
      <c r="J31" s="151"/>
      <c r="L31" s="69"/>
      <c r="N31" s="69"/>
      <c r="O31" s="75"/>
    </row>
    <row r="32" spans="1:15" ht="14.4">
      <c r="A32" s="21" t="s">
        <v>32</v>
      </c>
      <c r="B32" s="24"/>
      <c r="F32" s="154"/>
      <c r="G32" s="154"/>
      <c r="I32" s="154"/>
      <c r="J32" s="154"/>
      <c r="L32" s="94"/>
      <c r="N32" s="94"/>
    </row>
    <row r="33" spans="1:14" ht="14.4">
      <c r="A33" s="83" t="s">
        <v>62</v>
      </c>
      <c r="B33" s="24"/>
      <c r="C33" s="67">
        <f>+'Historical Financials + Budgets'!AL33</f>
        <v>30000</v>
      </c>
      <c r="D33" s="105">
        <f>+'Historical Financials + Budgets'!AN33</f>
        <v>97943.170000000013</v>
      </c>
      <c r="F33" s="151">
        <f>+'Historical Financials + Budgets'!AP33</f>
        <v>30000</v>
      </c>
      <c r="G33" s="151">
        <f>+'Historical Financials + Budgets'!AQ33</f>
        <v>33774.979999999996</v>
      </c>
      <c r="I33" s="151">
        <f>+'Historical Financials + Budgets'!AS33</f>
        <v>30000</v>
      </c>
      <c r="J33" s="151">
        <f>+'Historical Financials + Budgets'!AT33</f>
        <v>5728.8150000000023</v>
      </c>
      <c r="L33" s="69">
        <f>+'Historical Financials + Budgets'!AV33</f>
        <v>40000</v>
      </c>
      <c r="N33" s="69">
        <f>+'Historical Financials + Budgets'!AW33</f>
        <v>40000</v>
      </c>
    </row>
    <row r="34" spans="1:14" ht="15" thickBot="1">
      <c r="A34" s="83" t="s">
        <v>34</v>
      </c>
      <c r="B34" s="24"/>
      <c r="C34" s="77">
        <f>+'Historical Financials + Budgets'!AL34</f>
        <v>-14000</v>
      </c>
      <c r="D34" s="111">
        <f>+'Historical Financials + Budgets'!AN34</f>
        <v>-16909.8</v>
      </c>
      <c r="F34" s="155">
        <f>+'Historical Financials + Budgets'!AP34</f>
        <v>-14000</v>
      </c>
      <c r="G34" s="155">
        <f>+'Historical Financials + Budgets'!AQ34</f>
        <v>-20082.555</v>
      </c>
      <c r="I34" s="155">
        <v>-15000</v>
      </c>
      <c r="J34" s="155">
        <f>+'Historical Financials + Budgets'!AT34</f>
        <v>-17679.853333333333</v>
      </c>
      <c r="L34" s="96">
        <f>+'Historical Financials + Budgets'!AV34</f>
        <v>-20000</v>
      </c>
      <c r="N34" s="96">
        <f>+'Historical Financials + Budgets'!AW34</f>
        <v>-20000</v>
      </c>
    </row>
    <row r="35" spans="1:14" ht="14.4">
      <c r="A35" s="83"/>
      <c r="B35" s="24"/>
      <c r="C35" s="67">
        <f>+C33+C34</f>
        <v>16000</v>
      </c>
      <c r="D35" s="105">
        <f>+D33+D34</f>
        <v>81033.37000000001</v>
      </c>
      <c r="F35" s="151">
        <f>+F33+F34</f>
        <v>16000</v>
      </c>
      <c r="G35" s="151">
        <f>+G33+G34</f>
        <v>13692.424999999996</v>
      </c>
      <c r="I35" s="151">
        <f>+I33+I34</f>
        <v>15000</v>
      </c>
      <c r="J35" s="151">
        <f>+J33+J34</f>
        <v>-11951.03833333333</v>
      </c>
      <c r="L35" s="69">
        <f>+L33+L34</f>
        <v>20000</v>
      </c>
      <c r="N35" s="69">
        <f>+N33+N34</f>
        <v>20000</v>
      </c>
    </row>
    <row r="36" spans="1:14" ht="14.4">
      <c r="A36" s="22" t="s">
        <v>35</v>
      </c>
      <c r="B36" s="24"/>
      <c r="C36" s="67"/>
      <c r="D36" s="102"/>
      <c r="F36" s="151"/>
      <c r="G36" s="151"/>
      <c r="I36" s="151"/>
      <c r="J36" s="151"/>
      <c r="L36" s="69"/>
      <c r="N36" s="69"/>
    </row>
    <row r="37" spans="1:14" ht="14.4">
      <c r="A37" s="22"/>
      <c r="B37" s="24"/>
      <c r="C37" s="102"/>
      <c r="D37" s="102"/>
      <c r="F37" s="151"/>
      <c r="G37" s="151"/>
      <c r="I37" s="151"/>
      <c r="J37" s="151"/>
      <c r="L37" s="69"/>
      <c r="N37" s="69"/>
    </row>
    <row r="38" spans="1:14" ht="12.75" customHeight="1" thickBot="1">
      <c r="A38" s="12" t="s">
        <v>12</v>
      </c>
      <c r="B38" s="18"/>
      <c r="C38" s="103">
        <f>+'Historical Financials + Budgets'!AL37</f>
        <v>867972.18999999948</v>
      </c>
      <c r="D38" s="103">
        <f>+'Historical Financials + Budgets'!AN37</f>
        <v>307059.21999999951</v>
      </c>
      <c r="F38" s="156">
        <f>+'Historical Financials + Budgets'!AP37</f>
        <v>538889.39725881652</v>
      </c>
      <c r="G38" s="156">
        <f>+'Historical Financials + Budgets'!AQ37</f>
        <v>337932.5899999995</v>
      </c>
      <c r="I38" s="156">
        <f>+'Historical Financials + Budgets'!AS37</f>
        <v>305167.28179493151</v>
      </c>
      <c r="J38" s="156">
        <f>+'Historical Financials + Budgets'!AT37</f>
        <v>588336.67999999935</v>
      </c>
      <c r="L38" s="71">
        <f>+'Historical Financials + Budgets'!AV37</f>
        <v>301794.5748490314</v>
      </c>
      <c r="N38" s="71">
        <f>+'Historical Financials + Budgets'!AW37</f>
        <v>298894.5748490314</v>
      </c>
    </row>
    <row r="39" spans="1:14" ht="12.75" customHeight="1" thickTop="1" thickBot="1">
      <c r="A39" s="12" t="s">
        <v>29</v>
      </c>
      <c r="C39" s="68">
        <f>+'Historical Financials + Budgets'!AL38</f>
        <v>1623526.45</v>
      </c>
      <c r="D39" s="103">
        <f>+'Historical Financials + Budgets'!AN38</f>
        <v>1688559.82</v>
      </c>
      <c r="F39" s="156">
        <f>+'Historical Financials + Budgets'!AP38</f>
        <v>1804559.82</v>
      </c>
      <c r="G39" s="156">
        <f>+'Historical Financials + Budgets'!AQ38</f>
        <v>1802252.2450000001</v>
      </c>
      <c r="I39" s="156">
        <f>+'Historical Financials + Budgets'!AS38</f>
        <v>1942252.2450000001</v>
      </c>
      <c r="J39" s="156">
        <f>+'Historical Financials + Budgets'!AT38</f>
        <v>1915301.2066666668</v>
      </c>
      <c r="L39" s="71">
        <f>+'Historical Financials + Budgets'!AV38</f>
        <v>2435301.206666667</v>
      </c>
      <c r="N39" s="71">
        <f>+'Historical Financials + Budgets'!AW38</f>
        <v>2185301.206666667</v>
      </c>
    </row>
    <row r="40" spans="1:14" ht="12.75" customHeight="1" thickTop="1">
      <c r="D40" s="9"/>
      <c r="F40" s="1"/>
      <c r="G40" s="1"/>
      <c r="I40" s="1"/>
    </row>
    <row r="41" spans="1:14" ht="12.75" customHeight="1">
      <c r="C41" s="7"/>
      <c r="D41" s="115"/>
      <c r="F41" s="157"/>
      <c r="G41" s="157"/>
      <c r="I41" s="157"/>
      <c r="J41" s="157"/>
      <c r="L41" s="115"/>
      <c r="N41" s="115"/>
    </row>
    <row r="42" spans="1:14" ht="12.75" customHeight="1">
      <c r="D42" s="8"/>
      <c r="F42" s="1"/>
      <c r="G42" s="1"/>
      <c r="I42" s="1"/>
    </row>
  </sheetData>
  <mergeCells count="4">
    <mergeCell ref="A2:H2"/>
    <mergeCell ref="C5:D5"/>
    <mergeCell ref="F5:G5"/>
    <mergeCell ref="I5:J5"/>
  </mergeCells>
  <phoneticPr fontId="11" type="noConversion"/>
  <printOptions horizontalCentered="1" verticalCentered="1"/>
  <pageMargins left="0" right="0" top="0" bottom="0" header="0" footer="0"/>
  <pageSetup fitToHeight="0" orientation="landscape" horizontalDpi="1200" verticalDpi="1200" r:id="rId1"/>
  <headerFooter alignWithMargins="0">
    <oddFooter>&amp;F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outlinePr summaryBelow="0" summaryRight="0"/>
    <pageSetUpPr autoPageBreaks="0" fitToPage="1"/>
  </sheetPr>
  <dimension ref="A2:AZ53"/>
  <sheetViews>
    <sheetView showGridLines="0" showOutlineSymbols="0" zoomScale="90" zoomScaleNormal="90" workbookViewId="0">
      <pane xSplit="1" ySplit="6" topLeftCell="AP7" activePane="bottomRight" state="frozen"/>
      <selection pane="topRight" activeCell="B1" sqref="B1"/>
      <selection pane="bottomLeft" activeCell="A7" sqref="A7"/>
      <selection pane="bottomRight" activeCell="AW20" sqref="AW20"/>
    </sheetView>
  </sheetViews>
  <sheetFormatPr defaultColWidth="10" defaultRowHeight="12.75" customHeight="1"/>
  <cols>
    <col min="1" max="1" width="47.109375" style="12" customWidth="1"/>
    <col min="2" max="2" width="15.44140625" style="12" hidden="1" customWidth="1"/>
    <col min="3" max="3" width="15.44140625" style="54" hidden="1" customWidth="1"/>
    <col min="4" max="4" width="2.6640625" style="19" hidden="1" customWidth="1"/>
    <col min="5" max="5" width="15.44140625" style="54" hidden="1" customWidth="1"/>
    <col min="6" max="6" width="15.6640625" style="55" hidden="1" customWidth="1"/>
    <col min="7" max="7" width="2.6640625" style="19" hidden="1" customWidth="1"/>
    <col min="8" max="8" width="16.88671875" style="12" hidden="1" customWidth="1"/>
    <col min="9" max="9" width="15.6640625" style="55" hidden="1" customWidth="1"/>
    <col min="10" max="10" width="2.6640625" style="19" hidden="1" customWidth="1"/>
    <col min="11" max="11" width="15.6640625" style="12" hidden="1" customWidth="1"/>
    <col min="12" max="12" width="2.6640625" style="12" hidden="1" customWidth="1"/>
    <col min="13" max="13" width="18.109375" style="12" hidden="1" customWidth="1"/>
    <col min="14" max="14" width="2.6640625" style="19" hidden="1" customWidth="1"/>
    <col min="15" max="15" width="15.6640625" style="12" hidden="1" customWidth="1"/>
    <col min="16" max="16" width="2.6640625" style="12" hidden="1" customWidth="1"/>
    <col min="17" max="17" width="21.88671875" style="12" hidden="1" customWidth="1"/>
    <col min="18" max="18" width="2.6640625" style="19" hidden="1" customWidth="1"/>
    <col min="19" max="19" width="15.6640625" style="12" hidden="1" customWidth="1"/>
    <col min="20" max="20" width="2.6640625" style="12" hidden="1" customWidth="1"/>
    <col min="21" max="21" width="18.88671875" style="12" hidden="1" customWidth="1"/>
    <col min="22" max="22" width="2.33203125" style="12" hidden="1" customWidth="1"/>
    <col min="23" max="23" width="20.44140625" style="12" customWidth="1"/>
    <col min="24" max="24" width="17.5546875" style="12" bestFit="1" customWidth="1"/>
    <col min="25" max="25" width="3" style="12" customWidth="1"/>
    <col min="26" max="26" width="16.44140625" style="12" bestFit="1" customWidth="1"/>
    <col min="27" max="27" width="3" style="12" customWidth="1"/>
    <col min="28" max="28" width="16.5546875" style="12" customWidth="1"/>
    <col min="29" max="29" width="3" style="12" customWidth="1"/>
    <col min="30" max="30" width="16.44140625" style="12" bestFit="1" customWidth="1"/>
    <col min="31" max="31" width="3" style="12" customWidth="1"/>
    <col min="32" max="32" width="16.5546875" style="12" customWidth="1"/>
    <col min="33" max="33" width="3.5546875" style="12" customWidth="1"/>
    <col min="34" max="34" width="16.44140625" style="12" bestFit="1" customWidth="1"/>
    <col min="35" max="35" width="3" style="12" customWidth="1"/>
    <col min="36" max="36" width="16.5546875" style="12" customWidth="1"/>
    <col min="37" max="37" width="3.5546875" style="12" customWidth="1"/>
    <col min="38" max="38" width="19.88671875" style="12" bestFit="1" customWidth="1"/>
    <col min="39" max="39" width="3.109375" style="12" customWidth="1"/>
    <col min="40" max="40" width="19.88671875" style="12" bestFit="1" customWidth="1"/>
    <col min="41" max="41" width="3" style="12" customWidth="1"/>
    <col min="42" max="43" width="19.88671875" style="12" bestFit="1" customWidth="1"/>
    <col min="44" max="44" width="3" style="12" customWidth="1"/>
    <col min="45" max="45" width="21" style="12" bestFit="1" customWidth="1"/>
    <col min="46" max="46" width="21" style="12" customWidth="1"/>
    <col min="47" max="47" width="3.6640625" style="12" customWidth="1"/>
    <col min="48" max="49" width="27.6640625" style="12" customWidth="1"/>
    <col min="50" max="50" width="23.33203125" style="12" customWidth="1"/>
    <col min="51" max="51" width="6" style="12" customWidth="1"/>
    <col min="52" max="52" width="26.33203125" style="12" customWidth="1"/>
    <col min="53" max="16384" width="10" style="12"/>
  </cols>
  <sheetData>
    <row r="2" spans="1:52" ht="23.1" customHeight="1">
      <c r="A2" s="12" t="s">
        <v>18</v>
      </c>
      <c r="C2" s="12"/>
      <c r="D2" s="12"/>
      <c r="E2" s="12"/>
      <c r="F2" s="12"/>
      <c r="G2" s="12"/>
      <c r="I2" s="12"/>
      <c r="J2" s="12"/>
      <c r="N2" s="12"/>
      <c r="R2" s="12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>
        <f>1824000+28803.33</f>
        <v>1852803.33</v>
      </c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  <c r="AV2" s="15"/>
      <c r="AW2" s="15"/>
    </row>
    <row r="3" spans="1:52" ht="13.8">
      <c r="A3" s="83" t="s">
        <v>58</v>
      </c>
      <c r="B3" s="15"/>
      <c r="C3" s="12"/>
      <c r="D3" s="12"/>
      <c r="E3" s="12"/>
      <c r="F3" s="12"/>
      <c r="G3" s="12"/>
      <c r="I3" s="12"/>
      <c r="J3" s="12"/>
      <c r="N3" s="25"/>
      <c r="R3" s="25"/>
    </row>
    <row r="4" spans="1:52" ht="13.8">
      <c r="A4" s="26"/>
      <c r="B4" s="26"/>
      <c r="C4" s="27"/>
      <c r="D4" s="25"/>
      <c r="E4" s="27"/>
      <c r="F4" s="28"/>
      <c r="G4" s="25"/>
      <c r="H4" s="26"/>
      <c r="I4" s="28"/>
      <c r="J4" s="25"/>
      <c r="N4" s="25"/>
      <c r="R4" s="25"/>
    </row>
    <row r="5" spans="1:52" ht="23.1" customHeight="1">
      <c r="A5" s="26"/>
      <c r="B5" s="176">
        <v>2011</v>
      </c>
      <c r="C5" s="176">
        <v>2011</v>
      </c>
      <c r="D5" s="29"/>
      <c r="E5" s="176">
        <v>2012</v>
      </c>
      <c r="F5" s="176"/>
      <c r="G5" s="29"/>
      <c r="H5" s="176">
        <v>2013</v>
      </c>
      <c r="I5" s="176"/>
      <c r="J5" s="29"/>
      <c r="K5" s="176">
        <v>2014</v>
      </c>
      <c r="L5" s="176"/>
      <c r="M5" s="176"/>
      <c r="N5" s="25"/>
      <c r="O5" s="176">
        <v>2015</v>
      </c>
      <c r="P5" s="176"/>
      <c r="Q5" s="176"/>
      <c r="R5" s="25"/>
      <c r="S5" s="176">
        <v>2016</v>
      </c>
      <c r="T5" s="176"/>
      <c r="U5" s="176"/>
      <c r="V5" s="64"/>
      <c r="W5" s="176">
        <v>2017</v>
      </c>
      <c r="X5" s="176"/>
      <c r="Z5" s="176">
        <v>2018</v>
      </c>
      <c r="AA5" s="176"/>
      <c r="AB5" s="176"/>
      <c r="AD5" s="176">
        <v>2019</v>
      </c>
      <c r="AE5" s="176"/>
      <c r="AF5" s="176"/>
      <c r="AG5" s="15"/>
      <c r="AH5" s="176">
        <v>2020</v>
      </c>
      <c r="AI5" s="176"/>
      <c r="AJ5" s="176"/>
      <c r="AK5" s="15"/>
      <c r="AL5" s="176">
        <v>2021</v>
      </c>
      <c r="AM5" s="176"/>
      <c r="AN5" s="176"/>
      <c r="AP5" s="176">
        <v>2022</v>
      </c>
      <c r="AQ5" s="176"/>
      <c r="AR5" s="15"/>
      <c r="AS5" s="176">
        <v>2023</v>
      </c>
      <c r="AT5" s="176"/>
      <c r="AU5" s="15"/>
      <c r="AV5" s="176">
        <v>2024</v>
      </c>
      <c r="AW5" s="176"/>
      <c r="AX5" s="176"/>
    </row>
    <row r="6" spans="1:52" s="30" customFormat="1" ht="28.35" customHeight="1">
      <c r="B6" s="31" t="s">
        <v>8</v>
      </c>
      <c r="C6" s="32" t="s">
        <v>7</v>
      </c>
      <c r="D6" s="33"/>
      <c r="E6" s="31" t="s">
        <v>8</v>
      </c>
      <c r="F6" s="32" t="s">
        <v>7</v>
      </c>
      <c r="G6" s="33"/>
      <c r="H6" s="31" t="s">
        <v>16</v>
      </c>
      <c r="I6" s="32" t="s">
        <v>7</v>
      </c>
      <c r="J6" s="33"/>
      <c r="K6" s="31" t="s">
        <v>16</v>
      </c>
      <c r="L6" s="32"/>
      <c r="M6" s="31" t="s">
        <v>17</v>
      </c>
      <c r="N6" s="34"/>
      <c r="O6" s="31" t="s">
        <v>16</v>
      </c>
      <c r="P6" s="32"/>
      <c r="Q6" s="35" t="s">
        <v>23</v>
      </c>
      <c r="R6" s="34"/>
      <c r="S6" s="31" t="s">
        <v>16</v>
      </c>
      <c r="T6" s="32"/>
      <c r="U6" s="35" t="s">
        <v>23</v>
      </c>
      <c r="V6" s="65"/>
      <c r="W6" s="31" t="s">
        <v>16</v>
      </c>
      <c r="X6" s="32" t="s">
        <v>23</v>
      </c>
      <c r="Y6" s="66"/>
      <c r="Z6" s="31" t="s">
        <v>16</v>
      </c>
      <c r="AA6" s="66"/>
      <c r="AB6" s="32" t="s">
        <v>23</v>
      </c>
      <c r="AC6" s="66"/>
      <c r="AD6" s="31" t="s">
        <v>16</v>
      </c>
      <c r="AE6" s="66"/>
      <c r="AF6" s="32" t="s">
        <v>65</v>
      </c>
      <c r="AG6" s="32"/>
      <c r="AH6" s="31" t="s">
        <v>16</v>
      </c>
      <c r="AI6" s="66"/>
      <c r="AJ6" s="32" t="s">
        <v>65</v>
      </c>
      <c r="AK6" s="32"/>
      <c r="AL6" s="113" t="s">
        <v>16</v>
      </c>
      <c r="AM6" s="113"/>
      <c r="AN6" s="113" t="s">
        <v>23</v>
      </c>
      <c r="AO6" s="119"/>
      <c r="AP6" s="113" t="s">
        <v>16</v>
      </c>
      <c r="AQ6" s="113" t="s">
        <v>64</v>
      </c>
      <c r="AR6" s="66"/>
      <c r="AS6" s="113" t="s">
        <v>16</v>
      </c>
      <c r="AT6" s="113" t="s">
        <v>64</v>
      </c>
      <c r="AU6" s="113"/>
      <c r="AV6" s="113" t="s">
        <v>277</v>
      </c>
      <c r="AW6" s="113" t="s">
        <v>278</v>
      </c>
      <c r="AX6" s="113" t="s">
        <v>64</v>
      </c>
    </row>
    <row r="7" spans="1:52" ht="12.75" customHeight="1">
      <c r="B7" s="14"/>
      <c r="C7" s="15"/>
      <c r="D7" s="36"/>
      <c r="E7" s="14"/>
      <c r="F7" s="15"/>
      <c r="G7" s="36"/>
      <c r="H7" s="14"/>
      <c r="I7" s="15"/>
      <c r="J7" s="36"/>
      <c r="K7" s="14"/>
      <c r="L7" s="15"/>
      <c r="M7" s="14"/>
      <c r="N7" s="13"/>
      <c r="O7" s="14"/>
      <c r="P7" s="15"/>
      <c r="Q7" s="16"/>
      <c r="R7" s="13"/>
      <c r="S7" s="14"/>
      <c r="T7" s="15"/>
      <c r="U7" s="16"/>
    </row>
    <row r="8" spans="1:52" ht="12.75" customHeight="1">
      <c r="A8" s="12" t="s">
        <v>11</v>
      </c>
      <c r="B8" s="37">
        <v>0</v>
      </c>
      <c r="C8" s="38">
        <v>0</v>
      </c>
      <c r="D8" s="39"/>
      <c r="E8" s="37">
        <f>+C37</f>
        <v>1618971.32</v>
      </c>
      <c r="F8" s="38">
        <f>+C37</f>
        <v>1618971.32</v>
      </c>
      <c r="G8" s="39"/>
      <c r="H8" s="37">
        <v>1919269.77</v>
      </c>
      <c r="I8" s="38">
        <f>+F37</f>
        <v>1919254.3299999998</v>
      </c>
      <c r="J8" s="39"/>
      <c r="K8" s="37">
        <v>1025541.6999999997</v>
      </c>
      <c r="L8" s="38"/>
      <c r="M8" s="37">
        <f>+I37</f>
        <v>2926075.33</v>
      </c>
      <c r="N8" s="17"/>
      <c r="O8" s="37">
        <v>3910577.79</v>
      </c>
      <c r="P8" s="38"/>
      <c r="Q8" s="40">
        <f>M37</f>
        <v>3863437.17</v>
      </c>
      <c r="R8" s="17"/>
      <c r="S8" s="37">
        <f>Q37</f>
        <v>3274005.9899999998</v>
      </c>
      <c r="T8" s="38"/>
      <c r="U8" s="40">
        <f>+Q37</f>
        <v>3274005.9899999998</v>
      </c>
      <c r="V8" s="58"/>
      <c r="W8" s="76">
        <f>U37</f>
        <v>2254505.38</v>
      </c>
      <c r="X8" s="76">
        <v>2417298.7400000002</v>
      </c>
      <c r="Y8" s="58"/>
      <c r="Z8" s="76">
        <v>2013864.35</v>
      </c>
      <c r="AA8" s="58"/>
      <c r="AB8" s="76">
        <f>+X37</f>
        <v>2013864.35</v>
      </c>
      <c r="AC8" s="58"/>
      <c r="AD8" s="76">
        <f>+AB37</f>
        <v>2276035.3499999996</v>
      </c>
      <c r="AE8" s="58"/>
      <c r="AF8" s="76">
        <f>+AB37</f>
        <v>2276035.3499999996</v>
      </c>
      <c r="AG8" s="97"/>
      <c r="AH8" s="76">
        <f>+AF37</f>
        <v>1179180.7499999995</v>
      </c>
      <c r="AI8" s="58"/>
      <c r="AJ8" s="76">
        <f>+AF37</f>
        <v>1179180.7499999995</v>
      </c>
      <c r="AK8" s="76"/>
      <c r="AL8" s="58">
        <f>+AJ37</f>
        <v>865295.18999999948</v>
      </c>
      <c r="AM8" s="58"/>
      <c r="AN8" s="58">
        <f>+AJ37</f>
        <v>865295.18999999948</v>
      </c>
      <c r="AO8" s="120"/>
      <c r="AP8" s="58">
        <f>+AN37</f>
        <v>307059.21999999951</v>
      </c>
      <c r="AQ8" s="58">
        <f>+AN37</f>
        <v>307059.21999999951</v>
      </c>
      <c r="AR8" s="58"/>
      <c r="AS8" s="58">
        <f>+AQ37</f>
        <v>337932.5899999995</v>
      </c>
      <c r="AT8" s="58">
        <f>+AQ37</f>
        <v>337932.5899999995</v>
      </c>
      <c r="AU8" s="58"/>
      <c r="AV8" s="85">
        <f>+AT37</f>
        <v>588336.67999999935</v>
      </c>
      <c r="AW8" s="85">
        <f>+AV8</f>
        <v>588336.67999999935</v>
      </c>
      <c r="AX8" s="12" t="s">
        <v>59</v>
      </c>
    </row>
    <row r="9" spans="1:52" ht="12.75" customHeight="1">
      <c r="A9" s="12" t="s">
        <v>30</v>
      </c>
      <c r="B9" s="37"/>
      <c r="C9" s="38"/>
      <c r="D9" s="39"/>
      <c r="E9" s="37"/>
      <c r="F9" s="38"/>
      <c r="G9" s="39"/>
      <c r="H9" s="37"/>
      <c r="I9" s="38"/>
      <c r="J9" s="39"/>
      <c r="K9" s="37"/>
      <c r="L9" s="38"/>
      <c r="M9" s="37"/>
      <c r="N9" s="17"/>
      <c r="O9" s="37"/>
      <c r="P9" s="38"/>
      <c r="Q9" s="40"/>
      <c r="R9" s="17"/>
      <c r="S9" s="37"/>
      <c r="T9" s="38"/>
      <c r="U9" s="40"/>
      <c r="V9" s="58"/>
      <c r="W9" s="76"/>
      <c r="X9" s="76"/>
      <c r="Y9" s="58"/>
      <c r="Z9" s="82">
        <v>0</v>
      </c>
      <c r="AA9" s="58"/>
      <c r="AB9" s="82">
        <v>0</v>
      </c>
      <c r="AC9" s="58"/>
      <c r="AD9" s="82">
        <f>+AB38</f>
        <v>1329696</v>
      </c>
      <c r="AE9" s="58"/>
      <c r="AF9" s="82">
        <f>+AB38</f>
        <v>1329696</v>
      </c>
      <c r="AG9" s="98"/>
      <c r="AH9" s="76">
        <f>+AF38</f>
        <v>1461708.77</v>
      </c>
      <c r="AI9" s="58"/>
      <c r="AJ9" s="82">
        <f>+AF38</f>
        <v>1461708.77</v>
      </c>
      <c r="AK9" s="82"/>
      <c r="AL9" s="58">
        <f>+AJ38</f>
        <v>1507526.45</v>
      </c>
      <c r="AM9" s="58"/>
      <c r="AN9" s="58">
        <f>+AJ38</f>
        <v>1507526.45</v>
      </c>
      <c r="AO9" s="120"/>
      <c r="AP9" s="58">
        <f>+AN38</f>
        <v>1688559.82</v>
      </c>
      <c r="AQ9" s="58">
        <f>+AN38</f>
        <v>1688559.82</v>
      </c>
      <c r="AR9" s="58"/>
      <c r="AS9" s="58">
        <f>+AQ38</f>
        <v>1802252.2450000001</v>
      </c>
      <c r="AT9" s="58">
        <f>+AQ38</f>
        <v>1802252.2450000001</v>
      </c>
      <c r="AU9" s="58"/>
      <c r="AV9" s="85">
        <f>+AT38</f>
        <v>1915301.2066666668</v>
      </c>
      <c r="AW9" s="85">
        <f>+AV9</f>
        <v>1915301.2066666668</v>
      </c>
      <c r="AX9" s="12" t="s">
        <v>59</v>
      </c>
    </row>
    <row r="10" spans="1:52" ht="12.75" customHeight="1">
      <c r="B10" s="41"/>
      <c r="C10" s="12"/>
      <c r="D10" s="42"/>
      <c r="E10" s="41"/>
      <c r="F10" s="12"/>
      <c r="G10" s="42"/>
      <c r="H10" s="41"/>
      <c r="I10" s="12"/>
      <c r="J10" s="42"/>
      <c r="K10" s="41"/>
      <c r="M10" s="41"/>
      <c r="O10" s="41"/>
      <c r="Q10" s="43"/>
      <c r="S10" s="41"/>
      <c r="U10" s="43"/>
      <c r="V10" s="55"/>
      <c r="Y10" s="55"/>
      <c r="AA10" s="55"/>
      <c r="AB10" s="82"/>
      <c r="AC10" s="55"/>
      <c r="AE10" s="55"/>
      <c r="AF10" s="82"/>
      <c r="AG10" s="98"/>
      <c r="AI10" s="55"/>
      <c r="AJ10" s="82"/>
      <c r="AK10" s="82"/>
      <c r="AL10" s="55"/>
      <c r="AM10" s="55"/>
      <c r="AN10" s="55"/>
      <c r="AO10" s="55"/>
      <c r="AP10" s="55"/>
      <c r="AQ10" s="55"/>
      <c r="AR10" s="55"/>
      <c r="AS10" s="55"/>
      <c r="AT10" s="55"/>
      <c r="AU10" s="55"/>
      <c r="AV10" s="86"/>
      <c r="AW10" s="86"/>
    </row>
    <row r="11" spans="1:52" ht="14.4">
      <c r="A11" s="21" t="s">
        <v>9</v>
      </c>
      <c r="B11" s="41"/>
      <c r="C11" s="12"/>
      <c r="D11" s="42"/>
      <c r="E11" s="41"/>
      <c r="F11" s="12"/>
      <c r="G11" s="42"/>
      <c r="H11" s="41"/>
      <c r="I11" s="12"/>
      <c r="J11" s="42"/>
      <c r="K11" s="41"/>
      <c r="M11" s="41"/>
      <c r="O11" s="41"/>
      <c r="Q11" s="43"/>
      <c r="S11" s="41"/>
      <c r="U11" s="43"/>
      <c r="V11" s="55"/>
      <c r="Y11" s="55"/>
      <c r="AA11" s="55"/>
      <c r="AC11" s="55"/>
      <c r="AE11" s="55"/>
      <c r="AI11" s="55"/>
      <c r="AL11" s="55"/>
      <c r="AM11" s="55"/>
      <c r="AN11" s="55"/>
      <c r="AO11" s="55"/>
      <c r="AP11" s="55"/>
      <c r="AQ11" s="55"/>
      <c r="AR11" s="55"/>
      <c r="AS11" s="55"/>
      <c r="AT11" s="55"/>
      <c r="AU11" s="55"/>
      <c r="AV11" s="86"/>
      <c r="AW11" s="86"/>
    </row>
    <row r="12" spans="1:52" ht="14.4">
      <c r="A12" s="12" t="s">
        <v>38</v>
      </c>
      <c r="B12" s="41"/>
      <c r="C12" s="12"/>
      <c r="D12" s="42"/>
      <c r="E12" s="41"/>
      <c r="F12" s="12"/>
      <c r="G12" s="42"/>
      <c r="H12" s="41"/>
      <c r="I12" s="12"/>
      <c r="J12" s="42"/>
      <c r="K12" s="41"/>
      <c r="M12" s="41"/>
      <c r="O12" s="41"/>
      <c r="Q12" s="43"/>
      <c r="S12" s="41"/>
      <c r="U12" s="43"/>
      <c r="V12" s="55"/>
      <c r="Y12" s="55"/>
      <c r="Z12" s="84">
        <v>0</v>
      </c>
      <c r="AA12" s="55"/>
      <c r="AB12" s="84">
        <v>1703874</v>
      </c>
      <c r="AC12" s="55"/>
      <c r="AD12" s="84">
        <v>120402.2</v>
      </c>
      <c r="AE12" s="55"/>
      <c r="AF12" s="84">
        <v>120402.2</v>
      </c>
      <c r="AG12" s="84"/>
      <c r="AH12" s="84">
        <v>0</v>
      </c>
      <c r="AI12" s="55"/>
      <c r="AJ12" s="84">
        <v>0</v>
      </c>
      <c r="AK12" s="84"/>
      <c r="AL12" s="62">
        <v>0</v>
      </c>
      <c r="AM12" s="62"/>
      <c r="AN12" s="62">
        <v>0</v>
      </c>
      <c r="AO12" s="55"/>
      <c r="AP12" s="62">
        <v>0</v>
      </c>
      <c r="AQ12" s="62">
        <v>0</v>
      </c>
      <c r="AR12" s="55"/>
      <c r="AS12" s="62">
        <v>0</v>
      </c>
      <c r="AT12" s="62">
        <v>0</v>
      </c>
      <c r="AU12" s="62"/>
      <c r="AV12" s="87"/>
      <c r="AW12" s="87"/>
    </row>
    <row r="13" spans="1:52" ht="15" thickBot="1">
      <c r="A13" s="12" t="s">
        <v>6</v>
      </c>
      <c r="B13" s="44">
        <v>1623107</v>
      </c>
      <c r="C13" s="44">
        <v>1623106.57</v>
      </c>
      <c r="D13" s="42"/>
      <c r="E13" s="44">
        <v>0</v>
      </c>
      <c r="F13" s="44">
        <v>1907466.4</v>
      </c>
      <c r="G13" s="42"/>
      <c r="H13" s="44">
        <v>1600000</v>
      </c>
      <c r="I13" s="44">
        <v>1023425</v>
      </c>
      <c r="J13" s="42"/>
      <c r="K13" s="44">
        <v>1000000</v>
      </c>
      <c r="L13" s="44"/>
      <c r="M13" s="44">
        <v>1753780.05</v>
      </c>
      <c r="O13" s="44">
        <v>1200000</v>
      </c>
      <c r="P13" s="44"/>
      <c r="Q13" s="45">
        <v>1175810.8</v>
      </c>
      <c r="S13" s="44">
        <f>Q13*(1-0.177)</f>
        <v>967692.28839999996</v>
      </c>
      <c r="T13" s="44"/>
      <c r="U13" s="45">
        <v>809829.72</v>
      </c>
      <c r="V13" s="59"/>
      <c r="W13" s="77">
        <f>U13*(1-0.05)</f>
        <v>769338.23399999994</v>
      </c>
      <c r="X13" s="77">
        <v>796245.04</v>
      </c>
      <c r="Y13" s="59"/>
      <c r="Z13" s="77">
        <v>830881.7</v>
      </c>
      <c r="AA13" s="59"/>
      <c r="AB13" s="77">
        <v>737322</v>
      </c>
      <c r="AC13" s="59"/>
      <c r="AD13" s="77">
        <v>937504.92</v>
      </c>
      <c r="AE13" s="59"/>
      <c r="AF13" s="77">
        <v>925022.53</v>
      </c>
      <c r="AG13" s="91"/>
      <c r="AH13" s="77">
        <v>971273.66</v>
      </c>
      <c r="AI13" s="59"/>
      <c r="AJ13" s="77">
        <v>495556.2</v>
      </c>
      <c r="AK13" s="77"/>
      <c r="AL13" s="116">
        <v>554477</v>
      </c>
      <c r="AM13" s="59"/>
      <c r="AN13" s="116">
        <v>493224.26</v>
      </c>
      <c r="AO13" s="59"/>
      <c r="AP13" s="116">
        <f>+(AN13*' Notes'!$E$31)+'Historical Financials + Budgets'!AN13</f>
        <v>583630.17725881701</v>
      </c>
      <c r="AQ13" s="116">
        <v>725629.82</v>
      </c>
      <c r="AR13" s="59"/>
      <c r="AS13" s="116">
        <f>+(AQ13*' Notes'!E31)+AQ13</f>
        <v>858634.691794932</v>
      </c>
      <c r="AT13" s="116">
        <v>1133116.23</v>
      </c>
      <c r="AU13" s="59"/>
      <c r="AV13" s="88">
        <f>+(AT13*'2024 Budget Notes'!K25)+AT13</f>
        <v>730457.89484903216</v>
      </c>
      <c r="AW13" s="88">
        <f>+AV13</f>
        <v>730457.89484903216</v>
      </c>
      <c r="AX13" s="138"/>
      <c r="AY13" s="136"/>
      <c r="AZ13" s="121"/>
    </row>
    <row r="14" spans="1:52" ht="13.8">
      <c r="A14" s="22" t="s">
        <v>0</v>
      </c>
      <c r="B14" s="41">
        <f>SUM(B13:B13)</f>
        <v>1623107</v>
      </c>
      <c r="C14" s="46">
        <f>SUM(C13:C13)</f>
        <v>1623106.57</v>
      </c>
      <c r="D14" s="42"/>
      <c r="E14" s="41">
        <f>SUM(E13:E13)</f>
        <v>0</v>
      </c>
      <c r="F14" s="46">
        <f>SUM(F13:F13)</f>
        <v>1907466.4</v>
      </c>
      <c r="G14" s="42"/>
      <c r="H14" s="41">
        <f>SUM(H13:H13)</f>
        <v>1600000</v>
      </c>
      <c r="I14" s="46">
        <f>SUM(I13:I13)</f>
        <v>1023425</v>
      </c>
      <c r="J14" s="42"/>
      <c r="K14" s="41">
        <f>SUM(K10:K13)</f>
        <v>1000000</v>
      </c>
      <c r="L14" s="46"/>
      <c r="M14" s="41">
        <f>SUM(M11:M13)</f>
        <v>1753780.05</v>
      </c>
      <c r="O14" s="41">
        <f>SUM(O11:O13)</f>
        <v>1200000</v>
      </c>
      <c r="P14" s="46"/>
      <c r="Q14" s="41">
        <f>SUM(Q11:Q13)</f>
        <v>1175810.8</v>
      </c>
      <c r="S14" s="41">
        <f>SUM(S11:S13)</f>
        <v>967692.28839999996</v>
      </c>
      <c r="T14" s="46"/>
      <c r="U14" s="41">
        <f>SUM(U11:U13)</f>
        <v>809829.72</v>
      </c>
      <c r="V14" s="60"/>
      <c r="W14" s="67">
        <f>SUM(W11:W13)</f>
        <v>769338.23399999994</v>
      </c>
      <c r="X14" s="67">
        <f>SUM(X11:X13)</f>
        <v>796245.04</v>
      </c>
      <c r="Y14" s="60"/>
      <c r="Z14" s="67">
        <v>830881.7</v>
      </c>
      <c r="AA14" s="60"/>
      <c r="AB14" s="67">
        <f>SUM(AB11:AB13)</f>
        <v>2441196</v>
      </c>
      <c r="AC14" s="60"/>
      <c r="AD14" s="67">
        <f>SUM(AD12:AD13)</f>
        <v>1057907.1200000001</v>
      </c>
      <c r="AE14" s="60"/>
      <c r="AF14" s="67">
        <f>SUM(AF11:AF13)</f>
        <v>1045424.73</v>
      </c>
      <c r="AG14" s="91"/>
      <c r="AH14" s="67">
        <f>SUM(AH11:AH13)</f>
        <v>971273.66</v>
      </c>
      <c r="AI14" s="60"/>
      <c r="AJ14" s="67">
        <f>SUM(AJ11:AJ13)</f>
        <v>495556.2</v>
      </c>
      <c r="AK14" s="67"/>
      <c r="AL14" s="60">
        <f>SUM(AL11:AL13)</f>
        <v>554477</v>
      </c>
      <c r="AM14" s="60"/>
      <c r="AN14" s="60">
        <f>SUM(AN11:AN13)</f>
        <v>493224.26</v>
      </c>
      <c r="AO14" s="59"/>
      <c r="AP14" s="60">
        <f>SUM(AP11:AP13)</f>
        <v>583630.17725881701</v>
      </c>
      <c r="AQ14" s="60">
        <f>SUM(AQ11:AQ13)</f>
        <v>725629.82</v>
      </c>
      <c r="AR14" s="60"/>
      <c r="AS14" s="60">
        <f>SUM(AS11:AS13)</f>
        <v>858634.691794932</v>
      </c>
      <c r="AT14" s="60">
        <f>SUM(AT11:AT13)</f>
        <v>1133116.23</v>
      </c>
      <c r="AU14" s="60"/>
      <c r="AV14" s="47">
        <f>+AV13</f>
        <v>730457.89484903216</v>
      </c>
      <c r="AW14" s="47">
        <f>+AW13</f>
        <v>730457.89484903216</v>
      </c>
    </row>
    <row r="15" spans="1:52" ht="14.4">
      <c r="B15" s="41"/>
      <c r="C15" s="48"/>
      <c r="D15" s="42"/>
      <c r="E15" s="41"/>
      <c r="F15" s="48"/>
      <c r="G15" s="42"/>
      <c r="H15" s="41"/>
      <c r="I15" s="48"/>
      <c r="J15" s="42"/>
      <c r="K15" s="41"/>
      <c r="L15" s="48"/>
      <c r="M15" s="41"/>
      <c r="O15" s="41"/>
      <c r="P15" s="48"/>
      <c r="Q15" s="43"/>
      <c r="S15" s="41"/>
      <c r="T15" s="48"/>
      <c r="U15" s="43"/>
      <c r="V15" s="60"/>
      <c r="W15" s="67"/>
      <c r="X15" s="67"/>
      <c r="Y15" s="60"/>
      <c r="Z15" s="67"/>
      <c r="AA15" s="60"/>
      <c r="AB15" s="67"/>
      <c r="AC15" s="60"/>
      <c r="AD15" s="67"/>
      <c r="AE15" s="60"/>
      <c r="AF15" s="67"/>
      <c r="AG15" s="91"/>
      <c r="AH15" s="67"/>
      <c r="AI15" s="60"/>
      <c r="AJ15" s="67"/>
      <c r="AK15" s="67"/>
      <c r="AL15" s="60"/>
      <c r="AM15" s="60"/>
      <c r="AN15" s="60"/>
      <c r="AO15" s="59"/>
      <c r="AP15" s="60"/>
      <c r="AQ15" s="60"/>
      <c r="AR15" s="60"/>
      <c r="AS15" s="60"/>
      <c r="AT15" s="60"/>
      <c r="AU15" s="60"/>
      <c r="AV15" s="47"/>
      <c r="AW15" s="47"/>
      <c r="AX15" s="12">
        <f>4000-2400</f>
        <v>1600</v>
      </c>
    </row>
    <row r="16" spans="1:52" ht="14.4">
      <c r="A16" s="21" t="s">
        <v>10</v>
      </c>
      <c r="B16" s="41"/>
      <c r="C16" s="12"/>
      <c r="D16" s="42"/>
      <c r="E16" s="41"/>
      <c r="F16" s="12"/>
      <c r="G16" s="42"/>
      <c r="H16" s="41"/>
      <c r="I16" s="12"/>
      <c r="J16" s="42"/>
      <c r="K16" s="41"/>
      <c r="M16" s="41"/>
      <c r="O16" s="41"/>
      <c r="Q16" s="43"/>
      <c r="S16" s="41"/>
      <c r="U16" s="43"/>
      <c r="V16" s="60"/>
      <c r="W16" s="67"/>
      <c r="X16" s="67"/>
      <c r="Y16" s="60"/>
      <c r="Z16" s="67"/>
      <c r="AA16" s="60"/>
      <c r="AB16" s="67"/>
      <c r="AC16" s="60"/>
      <c r="AD16" s="67"/>
      <c r="AE16" s="60"/>
      <c r="AF16" s="67"/>
      <c r="AG16" s="91"/>
      <c r="AH16" s="67"/>
      <c r="AI16" s="60"/>
      <c r="AJ16" s="67"/>
      <c r="AK16" s="67"/>
      <c r="AL16" s="60"/>
      <c r="AM16" s="60"/>
      <c r="AN16" s="60"/>
      <c r="AO16" s="59"/>
      <c r="AP16" s="60"/>
      <c r="AQ16" s="60"/>
      <c r="AR16" s="60"/>
      <c r="AS16" s="60"/>
      <c r="AT16" s="60"/>
      <c r="AU16" s="60"/>
      <c r="AV16" s="47"/>
      <c r="AW16" s="47"/>
      <c r="AX16" s="12">
        <v>45000</v>
      </c>
    </row>
    <row r="17" spans="1:52" ht="13.8">
      <c r="A17" s="12" t="s">
        <v>1</v>
      </c>
      <c r="B17" s="41"/>
      <c r="C17" s="41">
        <v>0</v>
      </c>
      <c r="D17" s="42"/>
      <c r="E17" s="41">
        <v>18971</v>
      </c>
      <c r="F17" s="41">
        <v>2900</v>
      </c>
      <c r="G17" s="42"/>
      <c r="H17" s="41">
        <v>5000</v>
      </c>
      <c r="I17" s="41">
        <v>0</v>
      </c>
      <c r="J17" s="42"/>
      <c r="K17" s="41">
        <v>10000</v>
      </c>
      <c r="L17" s="41"/>
      <c r="M17" s="41">
        <v>40</v>
      </c>
      <c r="O17" s="41">
        <v>2000</v>
      </c>
      <c r="P17" s="41"/>
      <c r="Q17" s="41">
        <f>626.98+4871.48</f>
        <v>5498.4599999999991</v>
      </c>
      <c r="S17" s="41">
        <v>2000</v>
      </c>
      <c r="T17" s="41"/>
      <c r="U17" s="41">
        <v>2000</v>
      </c>
      <c r="V17" s="60"/>
      <c r="W17" s="67">
        <v>2000</v>
      </c>
      <c r="X17" s="67">
        <v>3301.75</v>
      </c>
      <c r="Y17" s="60"/>
      <c r="Z17" s="67">
        <v>3500</v>
      </c>
      <c r="AA17" s="60"/>
      <c r="AB17" s="67">
        <v>2908</v>
      </c>
      <c r="AC17" s="60"/>
      <c r="AD17" s="67">
        <v>3500</v>
      </c>
      <c r="AE17" s="60"/>
      <c r="AF17" s="67">
        <v>2559.09</v>
      </c>
      <c r="AG17" s="91"/>
      <c r="AH17" s="67">
        <v>3500</v>
      </c>
      <c r="AI17" s="60"/>
      <c r="AJ17" s="67">
        <v>3201.04</v>
      </c>
      <c r="AK17" s="67"/>
      <c r="AL17" s="60">
        <v>3000</v>
      </c>
      <c r="AM17" s="60"/>
      <c r="AN17" s="60">
        <v>1849.41</v>
      </c>
      <c r="AO17" s="59"/>
      <c r="AP17" s="60">
        <v>3000</v>
      </c>
      <c r="AQ17" s="60">
        <f>+'1.1.22 - 9.23.22 GL'!M125</f>
        <v>1078.3799999999999</v>
      </c>
      <c r="AR17" s="60"/>
      <c r="AS17" s="60">
        <f>+AP17</f>
        <v>3000</v>
      </c>
      <c r="AT17" s="60">
        <f>'1.1.23 - 9.25.23 GL'!M109</f>
        <v>1061.44</v>
      </c>
      <c r="AU17" s="60"/>
      <c r="AV17" s="47">
        <f>+AS17</f>
        <v>3000</v>
      </c>
      <c r="AW17" s="47">
        <f>+AV17</f>
        <v>3000</v>
      </c>
      <c r="AZ17" s="112"/>
    </row>
    <row r="18" spans="1:52" ht="13.8">
      <c r="A18" s="12" t="s">
        <v>2</v>
      </c>
      <c r="B18" s="41"/>
      <c r="C18" s="41">
        <v>0</v>
      </c>
      <c r="D18" s="42"/>
      <c r="E18" s="41"/>
      <c r="F18" s="41">
        <v>1000</v>
      </c>
      <c r="G18" s="42"/>
      <c r="H18" s="41">
        <v>1000</v>
      </c>
      <c r="I18" s="41">
        <v>0</v>
      </c>
      <c r="J18" s="42"/>
      <c r="K18" s="41">
        <v>4000</v>
      </c>
      <c r="L18" s="41"/>
      <c r="M18" s="41">
        <v>3965</v>
      </c>
      <c r="O18" s="41">
        <v>4000</v>
      </c>
      <c r="P18" s="41"/>
      <c r="Q18" s="41">
        <v>4000</v>
      </c>
      <c r="S18" s="41">
        <v>5000</v>
      </c>
      <c r="T18" s="41"/>
      <c r="U18" s="67">
        <v>4060</v>
      </c>
      <c r="V18" s="60"/>
      <c r="W18" s="67">
        <v>5000</v>
      </c>
      <c r="X18" s="67">
        <v>4200</v>
      </c>
      <c r="Y18" s="60"/>
      <c r="Z18" s="67">
        <v>4500</v>
      </c>
      <c r="AA18" s="60"/>
      <c r="AB18" s="67">
        <v>4027</v>
      </c>
      <c r="AC18" s="60"/>
      <c r="AD18" s="67">
        <v>4000</v>
      </c>
      <c r="AE18" s="60"/>
      <c r="AF18" s="67">
        <v>3650</v>
      </c>
      <c r="AG18" s="91"/>
      <c r="AH18" s="67">
        <v>4000</v>
      </c>
      <c r="AI18" s="60"/>
      <c r="AJ18" s="67">
        <v>3700</v>
      </c>
      <c r="AK18" s="67"/>
      <c r="AL18" s="60">
        <v>3800</v>
      </c>
      <c r="AM18" s="60"/>
      <c r="AN18" s="60">
        <v>4000</v>
      </c>
      <c r="AO18" s="59"/>
      <c r="AP18" s="60">
        <v>3800</v>
      </c>
      <c r="AQ18" s="60">
        <f>+'1.1.22 - 9.23.22 GL'!I89</f>
        <v>3500</v>
      </c>
      <c r="AR18" s="60"/>
      <c r="AS18" s="60">
        <f>+AP18</f>
        <v>3800</v>
      </c>
      <c r="AT18" s="60">
        <f>+'1.1.23 - 9.25.23 GL'!I76</f>
        <v>3735</v>
      </c>
      <c r="AU18" s="60"/>
      <c r="AV18" s="47">
        <v>4000</v>
      </c>
      <c r="AW18" s="47">
        <f>+AV18</f>
        <v>4000</v>
      </c>
      <c r="AX18" s="12">
        <v>32000</v>
      </c>
      <c r="AZ18" s="60" t="str">
        <f>+'1.1.22 - 9.23.22 GL'!L89</f>
        <v>Total Contract Labor</v>
      </c>
    </row>
    <row r="19" spans="1:52" ht="13.8">
      <c r="A19" s="12" t="s">
        <v>3</v>
      </c>
      <c r="B19" s="41"/>
      <c r="C19" s="41">
        <f>1135.25+3000</f>
        <v>4135.25</v>
      </c>
      <c r="D19" s="42"/>
      <c r="E19" s="41"/>
      <c r="F19" s="41">
        <f>1448.75+1163.75+380+275.45</f>
        <v>3267.95</v>
      </c>
      <c r="G19" s="42"/>
      <c r="H19" s="41">
        <v>5000</v>
      </c>
      <c r="I19" s="41">
        <v>16604</v>
      </c>
      <c r="J19" s="42"/>
      <c r="K19" s="41">
        <v>6000</v>
      </c>
      <c r="L19" s="41"/>
      <c r="M19" s="41">
        <v>29056.26</v>
      </c>
      <c r="O19" s="41">
        <v>35000</v>
      </c>
      <c r="P19" s="41"/>
      <c r="Q19" s="41">
        <f>40474.65-4000</f>
        <v>36474.65</v>
      </c>
      <c r="S19" s="41">
        <v>54000</v>
      </c>
      <c r="T19" s="41"/>
      <c r="U19" s="67">
        <v>50000</v>
      </c>
      <c r="V19" s="60"/>
      <c r="W19" s="67">
        <v>58000</v>
      </c>
      <c r="X19" s="67">
        <f>60057.8-4200</f>
        <v>55857.8</v>
      </c>
      <c r="Y19" s="60"/>
      <c r="Z19" s="67">
        <v>58000</v>
      </c>
      <c r="AA19" s="60"/>
      <c r="AB19" s="67">
        <v>51639</v>
      </c>
      <c r="AC19" s="60"/>
      <c r="AD19" s="67">
        <v>72500</v>
      </c>
      <c r="AE19" s="60"/>
      <c r="AF19" s="67">
        <v>69610.490000000005</v>
      </c>
      <c r="AG19" s="91"/>
      <c r="AH19" s="67">
        <v>72500</v>
      </c>
      <c r="AI19" s="60"/>
      <c r="AJ19" s="67">
        <v>63455.62</v>
      </c>
      <c r="AK19" s="67"/>
      <c r="AL19" s="60">
        <f>6000+2400+32000+2100</f>
        <v>42500</v>
      </c>
      <c r="AM19" s="60"/>
      <c r="AN19" s="60">
        <v>43009.82</v>
      </c>
      <c r="AO19" s="59"/>
      <c r="AP19" s="60">
        <f>6000+2400+32000+2100</f>
        <v>42500</v>
      </c>
      <c r="AQ19" s="60">
        <f>+'1.1.22 - 9.23.22 GL'!M89</f>
        <v>39639.07</v>
      </c>
      <c r="AR19" s="60"/>
      <c r="AS19" s="60">
        <f>+AP19+1600+13000</f>
        <v>57100</v>
      </c>
      <c r="AT19" s="60">
        <f>+'1.1.23 - 9.25.23 GL'!M74</f>
        <v>50223.7</v>
      </c>
      <c r="AU19" s="60"/>
      <c r="AV19" s="47">
        <f>+AS19</f>
        <v>57100</v>
      </c>
      <c r="AW19" s="47">
        <v>60000</v>
      </c>
      <c r="AX19" s="137">
        <v>45000</v>
      </c>
      <c r="AY19" s="135"/>
    </row>
    <row r="20" spans="1:52" ht="13.8">
      <c r="A20" s="12" t="s">
        <v>5</v>
      </c>
      <c r="B20" s="41"/>
      <c r="C20" s="41">
        <v>0</v>
      </c>
      <c r="D20" s="42"/>
      <c r="E20" s="41"/>
      <c r="F20" s="41">
        <v>0</v>
      </c>
      <c r="G20" s="42"/>
      <c r="H20" s="41"/>
      <c r="I20" s="41">
        <v>0</v>
      </c>
      <c r="J20" s="42"/>
      <c r="K20" s="41">
        <v>2500</v>
      </c>
      <c r="L20" s="41"/>
      <c r="M20" s="41">
        <v>2159</v>
      </c>
      <c r="O20" s="41">
        <v>2500</v>
      </c>
      <c r="P20" s="41"/>
      <c r="Q20" s="41">
        <v>2289</v>
      </c>
      <c r="S20" s="41">
        <v>2500</v>
      </c>
      <c r="T20" s="41"/>
      <c r="U20" s="67">
        <v>2427</v>
      </c>
      <c r="V20" s="60"/>
      <c r="W20" s="67">
        <v>2500</v>
      </c>
      <c r="X20" s="67">
        <v>2408</v>
      </c>
      <c r="Y20" s="60"/>
      <c r="Z20" s="67">
        <v>2500</v>
      </c>
      <c r="AA20" s="60"/>
      <c r="AB20" s="67">
        <v>2146</v>
      </c>
      <c r="AC20" s="60"/>
      <c r="AD20" s="67">
        <v>2275</v>
      </c>
      <c r="AE20" s="60"/>
      <c r="AF20" s="67">
        <v>2275</v>
      </c>
      <c r="AG20" s="91"/>
      <c r="AH20" s="67">
        <v>2500</v>
      </c>
      <c r="AI20" s="60"/>
      <c r="AJ20" s="67">
        <v>2412</v>
      </c>
      <c r="AK20" s="67"/>
      <c r="AL20" s="60">
        <v>2500</v>
      </c>
      <c r="AM20" s="60"/>
      <c r="AN20" s="60">
        <v>2601</v>
      </c>
      <c r="AO20" s="59"/>
      <c r="AP20" s="60">
        <v>2500</v>
      </c>
      <c r="AQ20" s="60">
        <f>+'1.1.22 - 9.23.22 GL'!I92</f>
        <v>2539</v>
      </c>
      <c r="AR20" s="60"/>
      <c r="AS20" s="60">
        <f>+AP20</f>
        <v>2500</v>
      </c>
      <c r="AT20" s="60">
        <f>+'1.1.23 - 9.25.23 GL'!I79</f>
        <v>2692</v>
      </c>
      <c r="AU20" s="60"/>
      <c r="AV20" s="47">
        <v>2900</v>
      </c>
      <c r="AW20" s="47">
        <f>+AV20</f>
        <v>2900</v>
      </c>
      <c r="AX20" s="137">
        <f>+AX18-AX19</f>
        <v>-13000</v>
      </c>
      <c r="AY20" s="112"/>
    </row>
    <row r="21" spans="1:52" ht="13.8">
      <c r="A21" s="12" t="s">
        <v>4</v>
      </c>
      <c r="B21" s="41"/>
      <c r="C21" s="41">
        <v>0</v>
      </c>
      <c r="D21" s="42"/>
      <c r="E21" s="41"/>
      <c r="F21" s="41">
        <v>15.44</v>
      </c>
      <c r="G21" s="42"/>
      <c r="H21" s="41"/>
      <c r="I21" s="41">
        <v>0</v>
      </c>
      <c r="J21" s="42"/>
      <c r="K21" s="41">
        <v>100</v>
      </c>
      <c r="L21" s="41"/>
      <c r="M21" s="41">
        <v>34.1</v>
      </c>
      <c r="O21" s="41">
        <v>100</v>
      </c>
      <c r="P21" s="41"/>
      <c r="Q21" s="41">
        <f>71.06+0.59</f>
        <v>71.650000000000006</v>
      </c>
      <c r="S21" s="41">
        <v>100</v>
      </c>
      <c r="T21" s="41"/>
      <c r="U21" s="67">
        <v>199</v>
      </c>
      <c r="V21" s="60"/>
      <c r="W21" s="67">
        <v>200</v>
      </c>
      <c r="X21" s="67">
        <v>88.58</v>
      </c>
      <c r="Y21" s="60"/>
      <c r="Z21" s="67">
        <v>3000</v>
      </c>
      <c r="AA21" s="60"/>
      <c r="AB21" s="67">
        <v>2671</v>
      </c>
      <c r="AC21" s="60"/>
      <c r="AD21" s="67">
        <v>3000</v>
      </c>
      <c r="AE21" s="60"/>
      <c r="AF21" s="67">
        <v>1969</v>
      </c>
      <c r="AG21" s="91"/>
      <c r="AH21" s="67">
        <v>3000</v>
      </c>
      <c r="AI21" s="60"/>
      <c r="AJ21" s="67">
        <v>23.1</v>
      </c>
      <c r="AK21" s="67"/>
      <c r="AL21" s="60">
        <v>0</v>
      </c>
      <c r="AM21" s="60"/>
      <c r="AN21" s="60">
        <v>0</v>
      </c>
      <c r="AO21" s="59"/>
      <c r="AP21" s="60">
        <v>0</v>
      </c>
      <c r="AQ21" s="60">
        <v>0</v>
      </c>
      <c r="AR21" s="60"/>
      <c r="AS21" s="60">
        <v>0</v>
      </c>
      <c r="AT21" s="60">
        <v>0</v>
      </c>
      <c r="AU21" s="60"/>
      <c r="AV21" s="47"/>
      <c r="AW21" s="47"/>
      <c r="AX21" s="112"/>
      <c r="AY21" s="112"/>
    </row>
    <row r="22" spans="1:52" ht="13.8">
      <c r="A22" s="12" t="s">
        <v>26</v>
      </c>
      <c r="B22" s="41"/>
      <c r="C22" s="41"/>
      <c r="D22" s="42"/>
      <c r="E22" s="41"/>
      <c r="F22" s="41"/>
      <c r="G22" s="42"/>
      <c r="H22" s="41"/>
      <c r="I22" s="41"/>
      <c r="J22" s="42"/>
      <c r="K22" s="41"/>
      <c r="L22" s="41"/>
      <c r="M22" s="41"/>
      <c r="O22" s="41"/>
      <c r="P22" s="41"/>
      <c r="Q22" s="41"/>
      <c r="S22" s="41"/>
      <c r="T22" s="41"/>
      <c r="U22" s="67"/>
      <c r="V22" s="60"/>
      <c r="W22" s="67"/>
      <c r="X22" s="67">
        <v>0</v>
      </c>
      <c r="Y22" s="60"/>
      <c r="Z22" s="67">
        <v>350000</v>
      </c>
      <c r="AA22" s="60"/>
      <c r="AB22" s="67">
        <v>1387727</v>
      </c>
      <c r="AC22" s="60"/>
      <c r="AD22" s="67">
        <v>100000</v>
      </c>
      <c r="AE22" s="60"/>
      <c r="AF22" s="67">
        <v>100000</v>
      </c>
      <c r="AG22" s="91"/>
      <c r="AH22" s="67">
        <v>200000</v>
      </c>
      <c r="AI22" s="60"/>
      <c r="AJ22" s="67">
        <v>0</v>
      </c>
      <c r="AK22" s="67"/>
      <c r="AL22" s="60">
        <v>100000</v>
      </c>
      <c r="AM22" s="60"/>
      <c r="AN22" s="60">
        <v>100000</v>
      </c>
      <c r="AO22" s="59"/>
      <c r="AP22" s="60">
        <v>100000</v>
      </c>
      <c r="AQ22" s="60">
        <f>+-'1.1.22 - 9.23.22 GL'!I13</f>
        <v>100000</v>
      </c>
      <c r="AR22" s="60"/>
      <c r="AS22" s="60">
        <v>125000</v>
      </c>
      <c r="AT22" s="60">
        <f>-'1.1.23 - 9.25.23 GL'!I12</f>
        <v>125000</v>
      </c>
      <c r="AU22" s="60"/>
      <c r="AV22" s="47">
        <v>500000</v>
      </c>
      <c r="AW22" s="47">
        <v>250000</v>
      </c>
      <c r="AX22" s="138">
        <f>+AV13*0.5</f>
        <v>365228.94742451608</v>
      </c>
      <c r="AY22" s="135" t="s">
        <v>206</v>
      </c>
    </row>
    <row r="23" spans="1:52" ht="13.8">
      <c r="A23" s="12" t="s">
        <v>61</v>
      </c>
      <c r="B23" s="41"/>
      <c r="C23" s="41"/>
      <c r="D23" s="42"/>
      <c r="E23" s="41"/>
      <c r="F23" s="41"/>
      <c r="G23" s="42"/>
      <c r="H23" s="41"/>
      <c r="I23" s="41"/>
      <c r="J23" s="42"/>
      <c r="K23" s="41"/>
      <c r="L23" s="41"/>
      <c r="M23" s="41"/>
      <c r="O23" s="41"/>
      <c r="P23" s="41"/>
      <c r="Q23" s="41"/>
      <c r="S23" s="41"/>
      <c r="T23" s="41"/>
      <c r="U23" s="67"/>
      <c r="V23" s="60"/>
      <c r="W23" s="67"/>
      <c r="X23" s="67"/>
      <c r="Y23" s="60"/>
      <c r="Z23" s="67"/>
      <c r="AA23" s="60"/>
      <c r="AB23" s="67"/>
      <c r="AC23" s="60"/>
      <c r="AD23" s="67">
        <v>1500000</v>
      </c>
      <c r="AE23" s="60"/>
      <c r="AF23" s="67">
        <v>1500000</v>
      </c>
      <c r="AG23" s="91"/>
      <c r="AH23" s="67">
        <v>0</v>
      </c>
      <c r="AI23" s="60"/>
      <c r="AJ23" s="67">
        <v>0</v>
      </c>
      <c r="AK23" s="67"/>
      <c r="AL23" s="60">
        <v>0</v>
      </c>
      <c r="AM23" s="60"/>
      <c r="AN23" s="60">
        <v>0</v>
      </c>
      <c r="AO23" s="59"/>
      <c r="AP23" s="60">
        <v>0</v>
      </c>
      <c r="AQ23" s="60">
        <v>0</v>
      </c>
      <c r="AR23" s="60"/>
      <c r="AS23" s="60">
        <v>0</v>
      </c>
      <c r="AT23" s="60">
        <v>0</v>
      </c>
      <c r="AU23" s="60"/>
      <c r="AV23" s="47"/>
      <c r="AW23" s="47"/>
      <c r="AX23" s="112"/>
      <c r="AY23" s="112"/>
    </row>
    <row r="24" spans="1:52" ht="13.8">
      <c r="A24" s="12" t="s">
        <v>61</v>
      </c>
      <c r="B24" s="41"/>
      <c r="C24" s="41"/>
      <c r="D24" s="42"/>
      <c r="E24" s="41"/>
      <c r="F24" s="41"/>
      <c r="G24" s="42"/>
      <c r="H24" s="41"/>
      <c r="I24" s="41"/>
      <c r="J24" s="42"/>
      <c r="K24" s="41"/>
      <c r="L24" s="41"/>
      <c r="M24" s="41"/>
      <c r="O24" s="41"/>
      <c r="P24" s="41"/>
      <c r="Q24" s="41"/>
      <c r="S24" s="41"/>
      <c r="T24" s="41"/>
      <c r="U24" s="67"/>
      <c r="V24" s="60"/>
      <c r="W24" s="67"/>
      <c r="X24" s="67"/>
      <c r="Y24" s="60"/>
      <c r="Z24" s="67"/>
      <c r="AA24" s="60"/>
      <c r="AB24" s="67"/>
      <c r="AC24" s="60"/>
      <c r="AD24" s="67">
        <v>324000</v>
      </c>
      <c r="AE24" s="60"/>
      <c r="AF24" s="67">
        <v>324000</v>
      </c>
      <c r="AG24" s="91"/>
      <c r="AH24" s="67">
        <v>0</v>
      </c>
      <c r="AI24" s="60"/>
      <c r="AJ24" s="67">
        <v>0</v>
      </c>
      <c r="AK24" s="67"/>
      <c r="AL24" s="60">
        <v>0</v>
      </c>
      <c r="AM24" s="60"/>
      <c r="AN24" s="60">
        <v>0</v>
      </c>
      <c r="AO24" s="59"/>
      <c r="AP24" s="60">
        <v>0</v>
      </c>
      <c r="AQ24" s="60">
        <v>0</v>
      </c>
      <c r="AR24" s="60"/>
      <c r="AS24" s="60">
        <v>0</v>
      </c>
      <c r="AT24" s="60">
        <v>0</v>
      </c>
      <c r="AU24" s="60"/>
      <c r="AV24" s="47"/>
      <c r="AW24" s="47"/>
      <c r="AX24" s="112"/>
      <c r="AY24" s="112"/>
    </row>
    <row r="25" spans="1:52" ht="13.8">
      <c r="A25" s="12" t="s">
        <v>15</v>
      </c>
      <c r="B25" s="41"/>
      <c r="C25" s="41"/>
      <c r="D25" s="42"/>
      <c r="E25" s="41"/>
      <c r="F25" s="41">
        <v>1600000</v>
      </c>
      <c r="G25" s="42"/>
      <c r="H25" s="41">
        <v>3500000</v>
      </c>
      <c r="I25" s="41">
        <v>0</v>
      </c>
      <c r="J25" s="42"/>
      <c r="K25" s="41">
        <v>1000000</v>
      </c>
      <c r="L25" s="41"/>
      <c r="M25" s="41">
        <v>0</v>
      </c>
      <c r="O25" s="41"/>
      <c r="P25" s="41"/>
      <c r="Q25" s="41"/>
      <c r="S25" s="41"/>
      <c r="T25" s="41"/>
      <c r="U25" s="41"/>
      <c r="V25" s="60"/>
      <c r="W25" s="67"/>
      <c r="X25" s="67"/>
      <c r="Y25" s="60"/>
      <c r="Z25" s="67"/>
      <c r="AA25" s="60"/>
      <c r="AB25" s="67"/>
      <c r="AC25" s="60"/>
      <c r="AD25" s="67"/>
      <c r="AE25" s="60"/>
      <c r="AF25" s="67"/>
      <c r="AG25" s="91"/>
      <c r="AH25" s="67"/>
      <c r="AI25" s="60"/>
      <c r="AJ25" s="67"/>
      <c r="AK25" s="67"/>
      <c r="AL25" s="60"/>
      <c r="AM25" s="60"/>
      <c r="AN25" s="60"/>
      <c r="AO25" s="59"/>
      <c r="AP25" s="60"/>
      <c r="AQ25" s="60"/>
      <c r="AR25" s="60"/>
      <c r="AS25" s="60"/>
      <c r="AT25" s="60"/>
      <c r="AU25" s="60"/>
      <c r="AV25" s="47"/>
      <c r="AW25" s="47"/>
    </row>
    <row r="26" spans="1:52" ht="13.8">
      <c r="A26" s="110" t="s">
        <v>13</v>
      </c>
      <c r="B26" s="41">
        <v>1623107</v>
      </c>
      <c r="C26" s="41">
        <v>0</v>
      </c>
      <c r="D26" s="42"/>
      <c r="E26" s="41">
        <v>1600000</v>
      </c>
      <c r="F26" s="41">
        <v>0</v>
      </c>
      <c r="G26" s="42"/>
      <c r="H26" s="41">
        <v>0</v>
      </c>
      <c r="I26" s="41">
        <v>0</v>
      </c>
      <c r="J26" s="42"/>
      <c r="K26" s="41"/>
      <c r="L26" s="41"/>
      <c r="M26" s="41">
        <v>781163.85</v>
      </c>
      <c r="O26" s="41"/>
      <c r="P26" s="41"/>
      <c r="Q26" s="41">
        <v>1716908.22</v>
      </c>
      <c r="S26" s="41">
        <v>2022004.1600000001</v>
      </c>
      <c r="T26" s="41"/>
      <c r="U26" s="67">
        <f>1398675.29+371969.04</f>
        <v>1770644.33</v>
      </c>
      <c r="V26" s="61"/>
      <c r="W26" s="78">
        <v>1174626.28</v>
      </c>
      <c r="X26" s="67">
        <v>1133823.3</v>
      </c>
      <c r="Y26" s="61"/>
      <c r="Z26" s="78">
        <v>972851</v>
      </c>
      <c r="AA26" s="61"/>
      <c r="AB26" s="67">
        <v>727907</v>
      </c>
      <c r="AC26" s="61"/>
      <c r="AD26" s="78">
        <v>481120</v>
      </c>
      <c r="AE26" s="61"/>
      <c r="AF26" s="67">
        <v>0</v>
      </c>
      <c r="AG26" s="91"/>
      <c r="AH26" s="78">
        <v>0</v>
      </c>
      <c r="AI26" s="61"/>
      <c r="AJ26" s="67">
        <v>400000</v>
      </c>
      <c r="AK26" s="67"/>
      <c r="AL26" s="61">
        <v>0</v>
      </c>
      <c r="AM26" s="61"/>
      <c r="AN26" s="61">
        <v>350000</v>
      </c>
      <c r="AO26" s="62"/>
      <c r="AP26" s="61">
        <v>200000</v>
      </c>
      <c r="AQ26" s="61">
        <v>200000</v>
      </c>
      <c r="AR26" s="61"/>
      <c r="AS26" s="61">
        <f>+AQ27</f>
        <v>350000</v>
      </c>
      <c r="AT26" s="61">
        <v>0</v>
      </c>
      <c r="AU26" s="61"/>
      <c r="AV26" s="89">
        <v>0</v>
      </c>
      <c r="AW26" s="89"/>
    </row>
    <row r="27" spans="1:52" ht="13.8">
      <c r="A27" s="110" t="s">
        <v>14</v>
      </c>
      <c r="B27" s="41"/>
      <c r="C27" s="41">
        <v>0</v>
      </c>
      <c r="D27" s="42"/>
      <c r="E27" s="41"/>
      <c r="F27" s="41">
        <v>0</v>
      </c>
      <c r="G27" s="42"/>
      <c r="H27" s="41">
        <v>0</v>
      </c>
      <c r="I27" s="41">
        <v>0</v>
      </c>
      <c r="J27" s="42"/>
      <c r="K27" s="41"/>
      <c r="L27" s="41"/>
      <c r="M27" s="41">
        <v>0</v>
      </c>
      <c r="O27" s="41">
        <v>2355818</v>
      </c>
      <c r="P27" s="41"/>
      <c r="Q27" s="41"/>
      <c r="S27" s="41">
        <f>(Q13-SUM(S17:S21))</f>
        <v>1112210.8</v>
      </c>
      <c r="T27" s="41"/>
      <c r="U27" s="41"/>
      <c r="V27" s="61"/>
      <c r="W27" s="78">
        <f>(U13-SUM(W17:W21))+175000</f>
        <v>917129.72</v>
      </c>
      <c r="X27" s="78"/>
      <c r="Y27" s="61"/>
      <c r="Z27" s="78">
        <v>439513.35000000003</v>
      </c>
      <c r="AA27" s="61"/>
      <c r="AB27" s="78">
        <v>0</v>
      </c>
      <c r="AC27" s="61"/>
      <c r="AD27" s="78">
        <v>208824</v>
      </c>
      <c r="AE27" s="61"/>
      <c r="AF27" s="78">
        <f>126476+63000</f>
        <v>189476</v>
      </c>
      <c r="AG27" s="84"/>
      <c r="AH27" s="78">
        <v>0</v>
      </c>
      <c r="AI27" s="61"/>
      <c r="AJ27" s="78">
        <v>338400</v>
      </c>
      <c r="AK27" s="78"/>
      <c r="AL27" s="61">
        <v>0</v>
      </c>
      <c r="AM27" s="61"/>
      <c r="AN27" s="61">
        <v>550000</v>
      </c>
      <c r="AO27" s="62"/>
      <c r="AP27" s="61">
        <v>0</v>
      </c>
      <c r="AQ27" s="61">
        <f>+'1.1.22 - 9.23.22 GL'!J52</f>
        <v>350000</v>
      </c>
      <c r="AR27" s="61"/>
      <c r="AS27" s="61">
        <f>+AQ29</f>
        <v>0</v>
      </c>
      <c r="AT27" s="61">
        <v>700000</v>
      </c>
      <c r="AU27" s="61"/>
      <c r="AV27" s="89"/>
      <c r="AW27" s="89"/>
    </row>
    <row r="28" spans="1:52" ht="13.8">
      <c r="A28" s="110" t="s">
        <v>66</v>
      </c>
      <c r="B28" s="41"/>
      <c r="C28" s="41"/>
      <c r="D28" s="42"/>
      <c r="E28" s="41"/>
      <c r="F28" s="41"/>
      <c r="G28" s="42"/>
      <c r="H28" s="41"/>
      <c r="I28" s="41"/>
      <c r="J28" s="42"/>
      <c r="K28" s="41"/>
      <c r="L28" s="41"/>
      <c r="M28" s="41"/>
      <c r="O28" s="41"/>
      <c r="P28" s="41"/>
      <c r="Q28" s="41"/>
      <c r="S28" s="41"/>
      <c r="T28" s="41"/>
      <c r="U28" s="41"/>
      <c r="V28" s="61"/>
      <c r="W28" s="78"/>
      <c r="X28" s="78"/>
      <c r="Y28" s="61"/>
      <c r="Z28" s="78"/>
      <c r="AA28" s="61"/>
      <c r="AB28" s="78"/>
      <c r="AC28" s="61"/>
      <c r="AD28" s="78"/>
      <c r="AE28" s="61"/>
      <c r="AF28" s="78">
        <v>-51260.25</v>
      </c>
      <c r="AG28" s="84"/>
      <c r="AH28" s="78">
        <v>0</v>
      </c>
      <c r="AI28" s="61"/>
      <c r="AJ28" s="78">
        <v>-1750</v>
      </c>
      <c r="AK28" s="78"/>
      <c r="AL28" s="61">
        <v>0</v>
      </c>
      <c r="AM28" s="61"/>
      <c r="AN28" s="61">
        <v>0</v>
      </c>
      <c r="AO28" s="62"/>
      <c r="AP28" s="61">
        <v>0</v>
      </c>
      <c r="AQ28" s="61">
        <f>+'1.1.22 - 9.23.22 GL'!I61</f>
        <v>-2000</v>
      </c>
      <c r="AR28" s="61"/>
      <c r="AS28" s="61">
        <v>0</v>
      </c>
      <c r="AT28" s="61">
        <f>+'1.1.22 - 9.23.22 GL'!L61</f>
        <v>0</v>
      </c>
      <c r="AU28" s="61"/>
      <c r="AV28" s="89"/>
      <c r="AW28" s="89"/>
    </row>
    <row r="29" spans="1:52" ht="14.4" thickBot="1">
      <c r="A29" s="110" t="s">
        <v>24</v>
      </c>
      <c r="B29" s="44"/>
      <c r="C29" s="44">
        <v>0</v>
      </c>
      <c r="D29" s="42"/>
      <c r="E29" s="44"/>
      <c r="F29" s="44">
        <v>0</v>
      </c>
      <c r="G29" s="42"/>
      <c r="H29" s="44">
        <v>0</v>
      </c>
      <c r="I29" s="44">
        <v>0</v>
      </c>
      <c r="J29" s="42"/>
      <c r="K29" s="44"/>
      <c r="L29" s="44"/>
      <c r="M29" s="44">
        <v>0</v>
      </c>
      <c r="O29" s="44">
        <v>2500000</v>
      </c>
      <c r="P29" s="44"/>
      <c r="Q29" s="44"/>
      <c r="S29" s="44">
        <f>S13</f>
        <v>967692.28839999996</v>
      </c>
      <c r="T29" s="44"/>
      <c r="U29" s="44"/>
      <c r="V29" s="62"/>
      <c r="W29" s="79">
        <f>W13</f>
        <v>769338.23399999994</v>
      </c>
      <c r="X29" s="79"/>
      <c r="Y29" s="62"/>
      <c r="Z29" s="79">
        <f>+Z13</f>
        <v>830881.7</v>
      </c>
      <c r="AA29" s="62"/>
      <c r="AB29" s="79">
        <v>0</v>
      </c>
      <c r="AC29" s="62"/>
      <c r="AD29" s="79">
        <v>513504.92</v>
      </c>
      <c r="AE29" s="62"/>
      <c r="AF29" s="79">
        <v>0</v>
      </c>
      <c r="AG29" s="84"/>
      <c r="AH29" s="79">
        <v>871273.66</v>
      </c>
      <c r="AI29" s="62"/>
      <c r="AJ29" s="79">
        <v>0</v>
      </c>
      <c r="AK29" s="79"/>
      <c r="AL29" s="117">
        <v>400000</v>
      </c>
      <c r="AM29" s="62"/>
      <c r="AN29" s="117">
        <v>0</v>
      </c>
      <c r="AO29" s="62"/>
      <c r="AP29" s="117">
        <v>0</v>
      </c>
      <c r="AQ29" s="117">
        <v>0</v>
      </c>
      <c r="AR29" s="62"/>
      <c r="AS29" s="117">
        <v>350000</v>
      </c>
      <c r="AT29" s="117">
        <v>0</v>
      </c>
      <c r="AU29" s="62"/>
      <c r="AV29" s="158">
        <v>450000</v>
      </c>
      <c r="AW29" s="158">
        <v>700000</v>
      </c>
    </row>
    <row r="30" spans="1:52" ht="13.8">
      <c r="A30" s="22" t="s">
        <v>31</v>
      </c>
      <c r="B30" s="41">
        <f>SUM(B17:B29)</f>
        <v>1623107</v>
      </c>
      <c r="C30" s="41">
        <f>SUM(C17:C29)</f>
        <v>4135.25</v>
      </c>
      <c r="D30" s="49"/>
      <c r="E30" s="41">
        <f>SUM(E17:E29)</f>
        <v>1618971</v>
      </c>
      <c r="F30" s="41">
        <f>SUM(F17:F29)</f>
        <v>1607183.39</v>
      </c>
      <c r="G30" s="49"/>
      <c r="H30" s="41">
        <f>SUM(H17:H29)</f>
        <v>3511000</v>
      </c>
      <c r="I30" s="41">
        <f>SUM(I17:I29)</f>
        <v>16604</v>
      </c>
      <c r="J30" s="49"/>
      <c r="K30" s="41">
        <f>SUM(K17:K29)</f>
        <v>1022600</v>
      </c>
      <c r="L30" s="41"/>
      <c r="M30" s="41">
        <f>SUM(M17:M29)</f>
        <v>816418.21</v>
      </c>
      <c r="N30" s="23"/>
      <c r="O30" s="41">
        <f>SUM(O17:O29)</f>
        <v>4899418</v>
      </c>
      <c r="P30" s="41"/>
      <c r="Q30" s="41">
        <f>SUM(Q17:Q29)</f>
        <v>1765241.98</v>
      </c>
      <c r="R30" s="23"/>
      <c r="S30" s="41">
        <f>SUM(S17:S29)</f>
        <v>4165507.2483999999</v>
      </c>
      <c r="T30" s="41"/>
      <c r="U30" s="41">
        <f>SUM(U17:U29)</f>
        <v>1829330.33</v>
      </c>
      <c r="V30" s="60"/>
      <c r="W30" s="67">
        <f>SUM(W17:W29)</f>
        <v>2928794.2340000002</v>
      </c>
      <c r="X30" s="67">
        <f>SUM(X17:X29)</f>
        <v>1199679.4300000002</v>
      </c>
      <c r="Y30" s="60"/>
      <c r="Z30" s="67">
        <v>2664746.0499999998</v>
      </c>
      <c r="AA30" s="60"/>
      <c r="AB30" s="67">
        <f>SUM(AB17:AB29)</f>
        <v>2179025</v>
      </c>
      <c r="AC30" s="60"/>
      <c r="AD30" s="60">
        <f>SUM(AD17:AD29)</f>
        <v>3212723.92</v>
      </c>
      <c r="AE30" s="60"/>
      <c r="AF30" s="67">
        <f>SUM(AF17:AF29)</f>
        <v>2142279.33</v>
      </c>
      <c r="AG30" s="91"/>
      <c r="AH30" s="67">
        <f>SUM(AH17:AH29)</f>
        <v>1156773.6600000001</v>
      </c>
      <c r="AI30" s="60"/>
      <c r="AJ30" s="67">
        <f>SUM(AJ17:AJ29)</f>
        <v>809441.76</v>
      </c>
      <c r="AK30" s="67"/>
      <c r="AL30" s="60">
        <f>SUM(AL17:AL29)</f>
        <v>551800</v>
      </c>
      <c r="AM30" s="60"/>
      <c r="AN30" s="60">
        <f>SUM(AN17:AN29)</f>
        <v>1051460.23</v>
      </c>
      <c r="AO30" s="59"/>
      <c r="AP30" s="60">
        <f>SUM(AP17:AP29)</f>
        <v>351800</v>
      </c>
      <c r="AQ30" s="60">
        <f>SUM(AQ17:AQ29)</f>
        <v>694756.45</v>
      </c>
      <c r="AR30" s="60"/>
      <c r="AS30" s="60">
        <f>SUM(AS17:AS29)</f>
        <v>891400</v>
      </c>
      <c r="AT30" s="60">
        <f>SUM(AT17:AT29)</f>
        <v>882712.14</v>
      </c>
      <c r="AU30" s="60"/>
      <c r="AV30" s="47">
        <f>SUM(AV17:AV29)</f>
        <v>1017000</v>
      </c>
      <c r="AW30" s="47">
        <f>SUM(AW17:AW29)</f>
        <v>1019900</v>
      </c>
      <c r="AX30" s="48"/>
    </row>
    <row r="31" spans="1:52" ht="13.8">
      <c r="A31" s="22"/>
      <c r="B31" s="41"/>
      <c r="C31" s="41"/>
      <c r="D31" s="49"/>
      <c r="E31" s="41"/>
      <c r="F31" s="41"/>
      <c r="G31" s="49"/>
      <c r="H31" s="41"/>
      <c r="I31" s="41"/>
      <c r="J31" s="49"/>
      <c r="K31" s="41"/>
      <c r="L31" s="41"/>
      <c r="M31" s="41"/>
      <c r="N31" s="23"/>
      <c r="O31" s="41"/>
      <c r="P31" s="41"/>
      <c r="Q31" s="41"/>
      <c r="R31" s="23"/>
      <c r="S31" s="41"/>
      <c r="T31" s="41"/>
      <c r="U31" s="41"/>
      <c r="V31" s="60"/>
      <c r="W31" s="67"/>
      <c r="X31" s="67"/>
      <c r="Y31" s="60"/>
      <c r="Z31" s="67"/>
      <c r="AA31" s="60"/>
      <c r="AB31" s="67"/>
      <c r="AC31" s="60"/>
      <c r="AD31" s="67"/>
      <c r="AE31" s="60"/>
      <c r="AF31" s="67"/>
      <c r="AG31" s="91"/>
      <c r="AH31" s="67"/>
      <c r="AI31" s="60"/>
      <c r="AJ31" s="67"/>
      <c r="AK31" s="67"/>
      <c r="AL31" s="60"/>
      <c r="AM31" s="60"/>
      <c r="AN31" s="60"/>
      <c r="AO31" s="59"/>
      <c r="AP31" s="60"/>
      <c r="AQ31" s="60"/>
      <c r="AR31" s="60"/>
      <c r="AS31" s="60"/>
      <c r="AT31" s="60"/>
      <c r="AU31" s="60"/>
      <c r="AV31" s="47"/>
      <c r="AW31" s="47"/>
    </row>
    <row r="32" spans="1:52" ht="14.4">
      <c r="A32" s="21" t="s">
        <v>32</v>
      </c>
      <c r="B32" s="41"/>
      <c r="C32" s="41"/>
      <c r="D32" s="49"/>
      <c r="E32" s="41"/>
      <c r="F32" s="41"/>
      <c r="G32" s="49"/>
      <c r="H32" s="41"/>
      <c r="I32" s="41"/>
      <c r="J32" s="49"/>
      <c r="K32" s="41"/>
      <c r="L32" s="41"/>
      <c r="M32" s="41"/>
      <c r="N32" s="23"/>
      <c r="O32" s="41"/>
      <c r="P32" s="41"/>
      <c r="Q32" s="41"/>
      <c r="R32" s="23"/>
      <c r="S32" s="41"/>
      <c r="T32" s="41"/>
      <c r="U32" s="41"/>
      <c r="V32" s="60"/>
      <c r="W32" s="67"/>
      <c r="X32" s="67"/>
      <c r="Y32" s="60"/>
      <c r="Z32" s="67"/>
      <c r="AA32" s="60"/>
      <c r="AB32" s="67"/>
      <c r="AC32" s="60"/>
      <c r="AD32" s="67"/>
      <c r="AE32" s="60"/>
      <c r="AF32" s="67"/>
      <c r="AG32" s="91"/>
      <c r="AH32" s="67"/>
      <c r="AI32" s="60"/>
      <c r="AJ32" s="67"/>
      <c r="AK32" s="67"/>
      <c r="AL32" s="60"/>
      <c r="AM32" s="60"/>
      <c r="AN32" s="60"/>
      <c r="AO32" s="59"/>
      <c r="AP32" s="60"/>
      <c r="AQ32" s="60"/>
      <c r="AR32" s="60"/>
      <c r="AS32" s="60"/>
      <c r="AT32" s="60"/>
      <c r="AU32" s="60"/>
      <c r="AV32" s="47"/>
      <c r="AW32" s="47"/>
    </row>
    <row r="33" spans="1:50" ht="13.8">
      <c r="A33" s="83" t="s">
        <v>33</v>
      </c>
      <c r="B33" s="41"/>
      <c r="C33" s="41"/>
      <c r="D33" s="49"/>
      <c r="E33" s="41"/>
      <c r="F33" s="41"/>
      <c r="G33" s="49"/>
      <c r="H33" s="41"/>
      <c r="I33" s="41"/>
      <c r="J33" s="49"/>
      <c r="K33" s="41"/>
      <c r="L33" s="41"/>
      <c r="M33" s="41"/>
      <c r="N33" s="23"/>
      <c r="O33" s="41"/>
      <c r="P33" s="41"/>
      <c r="Q33" s="41"/>
      <c r="R33" s="23"/>
      <c r="S33" s="41"/>
      <c r="T33" s="41"/>
      <c r="U33" s="41"/>
      <c r="V33" s="60"/>
      <c r="W33" s="67"/>
      <c r="X33" s="67"/>
      <c r="Y33" s="60"/>
      <c r="Z33" s="67">
        <v>0</v>
      </c>
      <c r="AA33" s="60"/>
      <c r="AB33" s="67">
        <f>-76293-805+72+24260+1</f>
        <v>-52765</v>
      </c>
      <c r="AC33" s="60"/>
      <c r="AD33" s="67">
        <v>30000</v>
      </c>
      <c r="AE33" s="60"/>
      <c r="AF33" s="67">
        <f>4319+3.72+39697.68</f>
        <v>44020.4</v>
      </c>
      <c r="AG33" s="91"/>
      <c r="AH33" s="67">
        <v>30000</v>
      </c>
      <c r="AI33" s="60"/>
      <c r="AJ33" s="67">
        <v>59437.45</v>
      </c>
      <c r="AK33" s="67"/>
      <c r="AL33" s="60">
        <v>30000</v>
      </c>
      <c r="AM33" s="60"/>
      <c r="AN33" s="60">
        <f>59966.37+0.94+37975.86</f>
        <v>97943.170000000013</v>
      </c>
      <c r="AO33" s="59"/>
      <c r="AP33" s="60">
        <v>30000</v>
      </c>
      <c r="AQ33" s="60">
        <f>+'1.1.22 - 9.23.22 GL'!I137+'1.1.22 - 9.23.22 GL'!M147+'1.1.22 - 9.23.22 GL'!M157</f>
        <v>33774.979999999996</v>
      </c>
      <c r="AR33" s="60"/>
      <c r="AS33" s="60">
        <f>+AP33</f>
        <v>30000</v>
      </c>
      <c r="AT33" s="60">
        <f>+'1.1.23 - 9.25.23 GL'!M144</f>
        <v>5728.8150000000023</v>
      </c>
      <c r="AU33" s="60"/>
      <c r="AV33" s="47">
        <v>40000</v>
      </c>
      <c r="AW33" s="47">
        <f>+AV33</f>
        <v>40000</v>
      </c>
    </row>
    <row r="34" spans="1:50" ht="14.4" thickBot="1">
      <c r="A34" s="83" t="s">
        <v>34</v>
      </c>
      <c r="B34" s="41"/>
      <c r="C34" s="41"/>
      <c r="D34" s="49"/>
      <c r="E34" s="41"/>
      <c r="F34" s="41"/>
      <c r="G34" s="49"/>
      <c r="H34" s="41"/>
      <c r="I34" s="41"/>
      <c r="J34" s="49"/>
      <c r="K34" s="41"/>
      <c r="L34" s="41"/>
      <c r="M34" s="41"/>
      <c r="N34" s="23"/>
      <c r="O34" s="41"/>
      <c r="P34" s="41"/>
      <c r="Q34" s="41"/>
      <c r="R34" s="23"/>
      <c r="S34" s="41"/>
      <c r="T34" s="41"/>
      <c r="U34" s="41"/>
      <c r="V34" s="60"/>
      <c r="W34" s="67"/>
      <c r="X34" s="67"/>
      <c r="Y34" s="60"/>
      <c r="Z34" s="79">
        <v>0</v>
      </c>
      <c r="AA34" s="60"/>
      <c r="AB34" s="79">
        <v>-5266</v>
      </c>
      <c r="AC34" s="60"/>
      <c r="AD34" s="79">
        <v>-14000</v>
      </c>
      <c r="AE34" s="60"/>
      <c r="AF34" s="79">
        <v>-12007.63</v>
      </c>
      <c r="AG34" s="84"/>
      <c r="AH34" s="79">
        <v>-14000</v>
      </c>
      <c r="AI34" s="60"/>
      <c r="AJ34" s="79">
        <v>-13619.77</v>
      </c>
      <c r="AK34" s="79"/>
      <c r="AL34" s="79">
        <v>-14000</v>
      </c>
      <c r="AM34" s="84"/>
      <c r="AN34" s="79">
        <v>-16909.8</v>
      </c>
      <c r="AO34" s="59"/>
      <c r="AP34" s="79">
        <v>-14000</v>
      </c>
      <c r="AQ34" s="79">
        <f>+'1.1.22 - 9.23.22 GL'!M162</f>
        <v>-20082.555</v>
      </c>
      <c r="AR34" s="60"/>
      <c r="AS34" s="79">
        <v>-15000</v>
      </c>
      <c r="AT34" s="79">
        <f>+'1.1.23 - 9.25.23 GL'!M148</f>
        <v>-17679.853333333333</v>
      </c>
      <c r="AU34" s="84"/>
      <c r="AV34" s="90">
        <v>-20000</v>
      </c>
      <c r="AW34" s="90">
        <f>+AV34</f>
        <v>-20000</v>
      </c>
    </row>
    <row r="35" spans="1:50" ht="13.8">
      <c r="A35" s="22" t="s">
        <v>35</v>
      </c>
      <c r="B35" s="41"/>
      <c r="C35" s="41"/>
      <c r="D35" s="49"/>
      <c r="E35" s="41"/>
      <c r="F35" s="41"/>
      <c r="G35" s="49"/>
      <c r="H35" s="41"/>
      <c r="I35" s="41"/>
      <c r="J35" s="49"/>
      <c r="K35" s="41"/>
      <c r="L35" s="41"/>
      <c r="M35" s="41"/>
      <c r="N35" s="23"/>
      <c r="O35" s="41"/>
      <c r="P35" s="41"/>
      <c r="Q35" s="41"/>
      <c r="R35" s="23"/>
      <c r="S35" s="41"/>
      <c r="T35" s="41"/>
      <c r="U35" s="41"/>
      <c r="V35" s="60"/>
      <c r="W35" s="67"/>
      <c r="X35" s="67"/>
      <c r="Y35" s="60"/>
      <c r="Z35" s="67"/>
      <c r="AA35" s="60"/>
      <c r="AB35" s="67">
        <f>+AB33+AB34</f>
        <v>-58031</v>
      </c>
      <c r="AC35" s="60"/>
      <c r="AD35" s="67">
        <f>+AD33+AD34</f>
        <v>16000</v>
      </c>
      <c r="AE35" s="60"/>
      <c r="AF35" s="67">
        <f>+AF33+AF34</f>
        <v>32012.770000000004</v>
      </c>
      <c r="AG35" s="91"/>
      <c r="AH35" s="67">
        <f>+AH33+AH34</f>
        <v>16000</v>
      </c>
      <c r="AI35" s="60"/>
      <c r="AJ35" s="67">
        <f>+AJ33+AJ34</f>
        <v>45817.679999999993</v>
      </c>
      <c r="AK35" s="67"/>
      <c r="AL35" s="60">
        <f>+AL33+AL34</f>
        <v>16000</v>
      </c>
      <c r="AM35" s="60"/>
      <c r="AN35" s="60">
        <f>+AN33+AN34</f>
        <v>81033.37000000001</v>
      </c>
      <c r="AO35" s="59"/>
      <c r="AP35" s="60">
        <f>+AP33+AP34</f>
        <v>16000</v>
      </c>
      <c r="AQ35" s="60">
        <f>+AQ33+AQ34</f>
        <v>13692.424999999996</v>
      </c>
      <c r="AR35" s="60"/>
      <c r="AS35" s="60">
        <f>+AS33+AS34</f>
        <v>15000</v>
      </c>
      <c r="AT35" s="60">
        <f>+AT33+AT34</f>
        <v>-11951.03833333333</v>
      </c>
      <c r="AU35" s="60"/>
      <c r="AV35" s="47">
        <f>SUM(AV33:AV34)</f>
        <v>20000</v>
      </c>
      <c r="AW35" s="47">
        <f>SUM(AW33:AW34)</f>
        <v>20000</v>
      </c>
    </row>
    <row r="36" spans="1:50" ht="14.4">
      <c r="A36" s="22"/>
      <c r="B36" s="41"/>
      <c r="C36" s="41"/>
      <c r="D36" s="49"/>
      <c r="E36" s="41"/>
      <c r="F36" s="41"/>
      <c r="G36" s="49"/>
      <c r="H36" s="41"/>
      <c r="I36" s="41"/>
      <c r="J36" s="49"/>
      <c r="K36" s="41"/>
      <c r="L36" s="41"/>
      <c r="M36" s="41"/>
      <c r="N36" s="23"/>
      <c r="O36" s="41"/>
      <c r="P36" s="41"/>
      <c r="Q36" s="43"/>
      <c r="R36" s="23"/>
      <c r="S36" s="41"/>
      <c r="T36" s="41"/>
      <c r="U36" s="43"/>
      <c r="V36" s="60"/>
      <c r="W36" s="67"/>
      <c r="X36" s="67"/>
      <c r="Y36" s="60"/>
      <c r="Z36" s="67"/>
      <c r="AA36" s="60"/>
      <c r="AB36" s="67"/>
      <c r="AC36" s="60"/>
      <c r="AD36" s="67"/>
      <c r="AE36" s="60"/>
      <c r="AF36" s="67"/>
      <c r="AG36" s="91"/>
      <c r="AH36" s="67"/>
      <c r="AI36" s="60"/>
      <c r="AJ36" s="67"/>
      <c r="AK36" s="67"/>
      <c r="AL36" s="60"/>
      <c r="AM36" s="60"/>
      <c r="AN36" s="60"/>
      <c r="AO36" s="59"/>
      <c r="AP36" s="60"/>
      <c r="AQ36" s="60"/>
      <c r="AR36" s="60"/>
      <c r="AS36" s="60"/>
      <c r="AT36" s="60"/>
      <c r="AU36" s="60"/>
      <c r="AV36" s="47"/>
      <c r="AW36" s="47"/>
    </row>
    <row r="37" spans="1:50" ht="12.75" customHeight="1" thickBot="1">
      <c r="A37" s="12" t="s">
        <v>12</v>
      </c>
      <c r="B37" s="50">
        <f>C8+B14-B30</f>
        <v>0</v>
      </c>
      <c r="C37" s="50">
        <f>C8+C14-C30</f>
        <v>1618971.32</v>
      </c>
      <c r="D37" s="39"/>
      <c r="E37" s="50">
        <f>F8+E14-E30</f>
        <v>0.32000000006519258</v>
      </c>
      <c r="F37" s="50">
        <f>F8+F14-F30</f>
        <v>1919254.3299999998</v>
      </c>
      <c r="G37" s="39"/>
      <c r="H37" s="50">
        <f>H8+H14-H30</f>
        <v>8269.7700000000186</v>
      </c>
      <c r="I37" s="50">
        <f>I8+I14-I30</f>
        <v>2926075.33</v>
      </c>
      <c r="J37" s="39"/>
      <c r="K37" s="50">
        <f>K8+K14-K30</f>
        <v>1002941.6999999997</v>
      </c>
      <c r="L37" s="50"/>
      <c r="M37" s="50">
        <f>M8+M14-M30</f>
        <v>3863437.17</v>
      </c>
      <c r="N37" s="17"/>
      <c r="O37" s="50">
        <f>O8+O14-O30</f>
        <v>211159.79000000004</v>
      </c>
      <c r="P37" s="50">
        <f>P8+P14-P30</f>
        <v>0</v>
      </c>
      <c r="Q37" s="50">
        <f>Q8+Q14-Q30</f>
        <v>3274005.9899999998</v>
      </c>
      <c r="R37" s="17"/>
      <c r="S37" s="50">
        <f>S8+S14-S30</f>
        <v>76191.030000000261</v>
      </c>
      <c r="T37" s="50"/>
      <c r="U37" s="50">
        <f>U8+U14-U30</f>
        <v>2254505.38</v>
      </c>
      <c r="V37" s="63"/>
      <c r="W37" s="80">
        <f>W8+W14-W30</f>
        <v>95049.379999999888</v>
      </c>
      <c r="X37" s="80">
        <f>X8+X14-X30-X9</f>
        <v>2013864.35</v>
      </c>
      <c r="Y37" s="63"/>
      <c r="Z37" s="80">
        <v>180000</v>
      </c>
      <c r="AA37" s="63"/>
      <c r="AB37" s="80">
        <f>AB8+AB14-AB30-AB9</f>
        <v>2276035.3499999996</v>
      </c>
      <c r="AC37" s="63"/>
      <c r="AD37" s="80">
        <f>+AD8+AD14-AD30</f>
        <v>121218.54999999981</v>
      </c>
      <c r="AE37" s="63"/>
      <c r="AF37" s="80">
        <f>+AF8+AF14-AF30</f>
        <v>1179180.7499999995</v>
      </c>
      <c r="AG37" s="81"/>
      <c r="AH37" s="80">
        <f>AH8+AH14-AH30</f>
        <v>993680.74999999953</v>
      </c>
      <c r="AI37" s="63"/>
      <c r="AJ37" s="80">
        <f>+AJ8+AJ14-AJ30</f>
        <v>865295.18999999948</v>
      </c>
      <c r="AK37" s="80"/>
      <c r="AL37" s="118">
        <f>AL8+AL14-AL30</f>
        <v>867972.18999999948</v>
      </c>
      <c r="AM37" s="63"/>
      <c r="AN37" s="118">
        <f>AN8+AN14-AN30</f>
        <v>307059.21999999951</v>
      </c>
      <c r="AO37" s="63"/>
      <c r="AP37" s="118">
        <f>AP8+AP14-AP30</f>
        <v>538889.39725881652</v>
      </c>
      <c r="AQ37" s="118">
        <f>AQ8+AQ14-AQ30</f>
        <v>337932.5899999995</v>
      </c>
      <c r="AR37" s="63"/>
      <c r="AS37" s="118">
        <f>AS8+AS14-AS30</f>
        <v>305167.28179493151</v>
      </c>
      <c r="AT37" s="118">
        <f>AT8+AT14-AT30</f>
        <v>588336.67999999935</v>
      </c>
      <c r="AU37" s="63"/>
      <c r="AV37" s="51">
        <f>AV8+AV14-AV30</f>
        <v>301794.5748490314</v>
      </c>
      <c r="AW37" s="51">
        <f>AW8+AW14-AW30</f>
        <v>298894.5748490314</v>
      </c>
      <c r="AX37" s="56"/>
    </row>
    <row r="38" spans="1:50" ht="12.75" customHeight="1" thickTop="1" thickBot="1">
      <c r="A38" s="12" t="s">
        <v>29</v>
      </c>
      <c r="B38" s="39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17"/>
      <c r="O38" s="39"/>
      <c r="P38" s="39"/>
      <c r="Q38" s="39"/>
      <c r="R38" s="17"/>
      <c r="S38" s="39"/>
      <c r="T38" s="39"/>
      <c r="U38" s="39"/>
      <c r="V38" s="63"/>
      <c r="W38" s="81"/>
      <c r="X38" s="80">
        <f>+X9+X22</f>
        <v>0</v>
      </c>
      <c r="Y38" s="63"/>
      <c r="Z38" s="80">
        <v>350000</v>
      </c>
      <c r="AA38" s="63"/>
      <c r="AB38" s="80">
        <f>+AB9+AB22+AB35</f>
        <v>1329696</v>
      </c>
      <c r="AC38" s="63"/>
      <c r="AD38" s="80">
        <f>+AD9+AD22+AD35</f>
        <v>1445696</v>
      </c>
      <c r="AE38" s="63"/>
      <c r="AF38" s="80">
        <f>+AF9+AF22+AF35</f>
        <v>1461708.77</v>
      </c>
      <c r="AG38" s="81"/>
      <c r="AH38" s="80">
        <f>+AH9+AH22+AH35</f>
        <v>1677708.77</v>
      </c>
      <c r="AI38" s="63"/>
      <c r="AJ38" s="80">
        <f>+AJ9+AJ22+AJ35</f>
        <v>1507526.45</v>
      </c>
      <c r="AK38" s="80"/>
      <c r="AL38" s="118">
        <f>+AL9+AL22+AL35</f>
        <v>1623526.45</v>
      </c>
      <c r="AM38" s="63"/>
      <c r="AN38" s="118">
        <f>+AN9+AN22+AN35</f>
        <v>1688559.82</v>
      </c>
      <c r="AO38" s="63"/>
      <c r="AP38" s="118">
        <f>+AP9+AP22+AP35</f>
        <v>1804559.82</v>
      </c>
      <c r="AQ38" s="118">
        <f>+AQ9+AQ22+AQ35</f>
        <v>1802252.2450000001</v>
      </c>
      <c r="AR38" s="63"/>
      <c r="AS38" s="118">
        <f>+AS9+AS22+AS35</f>
        <v>1942252.2450000001</v>
      </c>
      <c r="AT38" s="118">
        <f>+AT9+AT22+AT35</f>
        <v>1915301.2066666668</v>
      </c>
      <c r="AU38" s="63"/>
      <c r="AV38" s="51">
        <f>+AV9+AV22+AV35</f>
        <v>2435301.206666667</v>
      </c>
      <c r="AW38" s="51">
        <f>+AW9+AW22+AW35</f>
        <v>2185301.206666667</v>
      </c>
      <c r="AX38" s="56"/>
    </row>
    <row r="39" spans="1:50" ht="12.75" customHeight="1" thickTop="1">
      <c r="B39" s="31"/>
      <c r="C39" s="52"/>
      <c r="D39" s="42"/>
      <c r="E39" s="46"/>
      <c r="F39" s="52"/>
      <c r="G39" s="42"/>
      <c r="I39" s="52"/>
      <c r="J39" s="42"/>
      <c r="X39" s="12" t="s">
        <v>25</v>
      </c>
      <c r="AX39" s="56"/>
    </row>
    <row r="40" spans="1:50" ht="12.75" customHeight="1">
      <c r="B40" s="53"/>
      <c r="K40" s="48"/>
      <c r="L40" s="48"/>
      <c r="M40" s="56"/>
      <c r="O40" s="48"/>
      <c r="P40" s="48"/>
      <c r="Q40" s="56"/>
      <c r="S40" s="48"/>
      <c r="T40" s="48"/>
      <c r="X40" s="56"/>
      <c r="AJ40" s="114"/>
      <c r="AL40" s="114"/>
      <c r="AN40" s="114"/>
      <c r="AP40" s="114"/>
      <c r="AQ40" s="114"/>
      <c r="AS40" s="114"/>
      <c r="AT40" s="114"/>
      <c r="AU40" s="114"/>
      <c r="AV40" s="114"/>
      <c r="AW40" s="114"/>
    </row>
    <row r="41" spans="1:50" ht="12.75" customHeight="1">
      <c r="W41" s="41"/>
      <c r="Z41" s="60"/>
      <c r="AD41" s="60"/>
      <c r="AJ41" s="48"/>
    </row>
    <row r="42" spans="1:50" ht="12.75" hidden="1" customHeight="1">
      <c r="AV42" s="48">
        <f>4947924.42-233581.57-AT27-AV22-AV29+AV14-AT14</f>
        <v>2661684.5148490318</v>
      </c>
      <c r="AW42" s="48"/>
    </row>
    <row r="43" spans="1:50" ht="12.75" hidden="1" customHeight="1">
      <c r="AJ43" s="48"/>
      <c r="AP43" s="48"/>
      <c r="AQ43" s="48"/>
      <c r="AS43" s="48"/>
      <c r="AT43" s="48"/>
      <c r="AU43" s="48"/>
      <c r="AV43" s="48"/>
      <c r="AW43" s="48"/>
    </row>
    <row r="44" spans="1:50" ht="12.75" hidden="1" customHeight="1">
      <c r="Y44" s="22"/>
      <c r="Z44" s="91"/>
      <c r="AD44" s="91"/>
      <c r="AV44" s="78">
        <f>+AV37+AV38-AV42</f>
        <v>75411.266666666605</v>
      </c>
      <c r="AW44" s="78"/>
    </row>
    <row r="45" spans="1:50" ht="12.75" customHeight="1">
      <c r="Y45" s="22"/>
      <c r="Z45" s="91"/>
      <c r="AD45" s="91"/>
      <c r="AJ45" s="48"/>
    </row>
    <row r="46" spans="1:50" ht="12.75" customHeight="1">
      <c r="Y46" s="22"/>
      <c r="Z46" s="91"/>
      <c r="AD46" s="91"/>
      <c r="AV46" s="48"/>
      <c r="AW46" s="48"/>
    </row>
    <row r="47" spans="1:50" ht="12.75" customHeight="1">
      <c r="Y47" s="22"/>
      <c r="Z47" s="91"/>
      <c r="AD47" s="91"/>
    </row>
    <row r="48" spans="1:50" ht="12.75" customHeight="1">
      <c r="Y48" s="22"/>
      <c r="Z48" s="91"/>
      <c r="AD48" s="91"/>
      <c r="AV48" s="48"/>
    </row>
    <row r="49" spans="25:30" ht="12.75" customHeight="1">
      <c r="Y49" s="22"/>
      <c r="Z49" s="91"/>
      <c r="AD49" s="91"/>
    </row>
    <row r="50" spans="25:30" ht="12.75" customHeight="1">
      <c r="Y50" s="22"/>
      <c r="Z50" s="91"/>
      <c r="AD50" s="91"/>
    </row>
    <row r="51" spans="25:30" ht="12.75" customHeight="1">
      <c r="Z51" s="91"/>
      <c r="AD51" s="91"/>
    </row>
    <row r="52" spans="25:30" ht="12.75" customHeight="1">
      <c r="Y52" s="22"/>
      <c r="Z52" s="91"/>
      <c r="AD52" s="91"/>
    </row>
    <row r="53" spans="25:30" ht="12.75" customHeight="1">
      <c r="Z53" s="91"/>
      <c r="AD53" s="91"/>
    </row>
  </sheetData>
  <mergeCells count="14">
    <mergeCell ref="B5:C5"/>
    <mergeCell ref="H5:I5"/>
    <mergeCell ref="O5:Q5"/>
    <mergeCell ref="S5:U5"/>
    <mergeCell ref="AD5:AF5"/>
    <mergeCell ref="Z5:AB5"/>
    <mergeCell ref="W5:X5"/>
    <mergeCell ref="E5:F5"/>
    <mergeCell ref="K5:M5"/>
    <mergeCell ref="AS5:AT5"/>
    <mergeCell ref="AV5:AX5"/>
    <mergeCell ref="AP5:AQ5"/>
    <mergeCell ref="AL5:AN5"/>
    <mergeCell ref="AH5:AJ5"/>
  </mergeCells>
  <phoneticPr fontId="11" type="noConversion"/>
  <printOptions horizontalCentered="1" verticalCentered="1" gridLines="1"/>
  <pageMargins left="0" right="0" top="0" bottom="0" header="0" footer="0"/>
  <pageSetup paperSize="5" scale="51" orientation="landscape" horizontalDpi="1200" verticalDpi="1200" r:id="rId1"/>
  <headerFooter alignWithMargins="0">
    <oddFooter>&amp;C&amp;Z&amp;F&amp;R&amp;D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B44605-5CBE-49D0-A17A-942F7CC48FCC}">
  <sheetPr>
    <tabColor rgb="FFFF0000"/>
  </sheetPr>
  <dimension ref="A1:M169"/>
  <sheetViews>
    <sheetView topLeftCell="A42" workbookViewId="0">
      <selection activeCell="I53" sqref="I53"/>
    </sheetView>
  </sheetViews>
  <sheetFormatPr defaultColWidth="9.109375" defaultRowHeight="13.2"/>
  <cols>
    <col min="1" max="1" width="44.6640625" style="124" customWidth="1"/>
    <col min="2" max="2" width="15.44140625" style="124" customWidth="1"/>
    <col min="3" max="3" width="18" style="124" customWidth="1"/>
    <col min="4" max="5" width="7.6640625" style="124" customWidth="1"/>
    <col min="6" max="6" width="37" style="124" customWidth="1"/>
    <col min="7" max="7" width="30.109375" style="124" customWidth="1"/>
    <col min="8" max="8" width="39.5546875" style="124" customWidth="1"/>
    <col min="9" max="9" width="12" style="124" customWidth="1"/>
    <col min="10" max="10" width="10.88671875" style="124" bestFit="1" customWidth="1"/>
    <col min="11" max="11" width="11.109375" style="124" customWidth="1"/>
    <col min="12" max="12" width="19.5546875" style="124" customWidth="1"/>
    <col min="13" max="13" width="11.6640625" style="122" bestFit="1" customWidth="1"/>
    <col min="14" max="16384" width="9.109375" style="124"/>
  </cols>
  <sheetData>
    <row r="1" spans="1:10" ht="17.399999999999999">
      <c r="A1" s="177" t="s">
        <v>39</v>
      </c>
      <c r="B1" s="178"/>
      <c r="C1" s="178"/>
      <c r="D1" s="178"/>
      <c r="E1" s="178"/>
      <c r="F1" s="178"/>
      <c r="G1" s="178"/>
      <c r="H1" s="178"/>
      <c r="I1" s="178"/>
      <c r="J1" s="178"/>
    </row>
    <row r="2" spans="1:10" ht="17.399999999999999">
      <c r="A2" s="177" t="s">
        <v>87</v>
      </c>
      <c r="B2" s="178"/>
      <c r="C2" s="178"/>
      <c r="D2" s="178"/>
      <c r="E2" s="178"/>
      <c r="F2" s="178"/>
      <c r="G2" s="178"/>
      <c r="H2" s="178"/>
      <c r="I2" s="178"/>
      <c r="J2" s="178"/>
    </row>
    <row r="3" spans="1:10">
      <c r="A3" s="179" t="s">
        <v>194</v>
      </c>
      <c r="B3" s="178"/>
      <c r="C3" s="178"/>
      <c r="D3" s="178"/>
      <c r="E3" s="178"/>
      <c r="F3" s="178"/>
      <c r="G3" s="178"/>
      <c r="H3" s="178"/>
      <c r="I3" s="178"/>
      <c r="J3" s="178"/>
    </row>
    <row r="5" spans="1:10">
      <c r="B5" s="126" t="s">
        <v>40</v>
      </c>
      <c r="C5" s="126" t="s">
        <v>41</v>
      </c>
      <c r="D5" s="126" t="s">
        <v>42</v>
      </c>
      <c r="E5" s="126" t="s">
        <v>88</v>
      </c>
      <c r="F5" s="126" t="s">
        <v>43</v>
      </c>
      <c r="G5" s="126" t="s">
        <v>44</v>
      </c>
      <c r="H5" s="126" t="s">
        <v>45</v>
      </c>
      <c r="I5" s="126" t="s">
        <v>46</v>
      </c>
      <c r="J5" s="126" t="s">
        <v>47</v>
      </c>
    </row>
    <row r="6" spans="1:10">
      <c r="A6" s="127" t="s">
        <v>51</v>
      </c>
    </row>
    <row r="7" spans="1:10">
      <c r="B7" s="128" t="s">
        <v>89</v>
      </c>
      <c r="J7" s="129">
        <v>1244990.8500000001</v>
      </c>
    </row>
    <row r="8" spans="1:10">
      <c r="B8" s="128" t="s">
        <v>90</v>
      </c>
      <c r="C8" s="128" t="s">
        <v>50</v>
      </c>
      <c r="D8" s="128">
        <v>3498</v>
      </c>
      <c r="E8" s="128" t="s">
        <v>91</v>
      </c>
      <c r="F8" s="128" t="s">
        <v>83</v>
      </c>
      <c r="G8" s="128" t="s">
        <v>92</v>
      </c>
      <c r="H8" s="128" t="s">
        <v>93</v>
      </c>
      <c r="I8" s="129">
        <v>-149.5</v>
      </c>
      <c r="J8" s="129">
        <v>1244841.3500000001</v>
      </c>
    </row>
    <row r="9" spans="1:10">
      <c r="B9" s="128" t="s">
        <v>90</v>
      </c>
      <c r="C9" s="128" t="s">
        <v>50</v>
      </c>
      <c r="D9" s="128">
        <v>3497</v>
      </c>
      <c r="E9" s="128" t="s">
        <v>91</v>
      </c>
      <c r="F9" s="128" t="s">
        <v>69</v>
      </c>
      <c r="G9" s="128" t="s">
        <v>94</v>
      </c>
      <c r="H9" s="128" t="s">
        <v>95</v>
      </c>
      <c r="I9" s="129">
        <v>-132</v>
      </c>
      <c r="J9" s="129">
        <v>1244709.3500000001</v>
      </c>
    </row>
    <row r="10" spans="1:10">
      <c r="B10" s="128" t="s">
        <v>90</v>
      </c>
      <c r="C10" s="128" t="s">
        <v>50</v>
      </c>
      <c r="D10" s="128">
        <v>3499</v>
      </c>
      <c r="E10" s="128" t="s">
        <v>91</v>
      </c>
      <c r="F10" s="128" t="s">
        <v>53</v>
      </c>
      <c r="G10" s="128"/>
      <c r="H10" s="128" t="s">
        <v>96</v>
      </c>
      <c r="I10" s="129">
        <v>-771.34</v>
      </c>
      <c r="J10" s="129">
        <v>1243938.01</v>
      </c>
    </row>
    <row r="11" spans="1:10">
      <c r="B11" s="128" t="s">
        <v>90</v>
      </c>
      <c r="C11" s="128" t="s">
        <v>50</v>
      </c>
      <c r="D11" s="128">
        <v>3496</v>
      </c>
      <c r="E11" s="128" t="s">
        <v>91</v>
      </c>
      <c r="F11" s="128" t="s">
        <v>54</v>
      </c>
      <c r="G11" s="128" t="s">
        <v>97</v>
      </c>
      <c r="H11" s="130" t="s">
        <v>49</v>
      </c>
      <c r="I11" s="129">
        <v>-2691.47</v>
      </c>
      <c r="J11" s="129">
        <v>1241246.54</v>
      </c>
    </row>
    <row r="12" spans="1:10">
      <c r="B12" s="128" t="s">
        <v>90</v>
      </c>
      <c r="C12" s="128" t="s">
        <v>50</v>
      </c>
      <c r="D12" s="128">
        <v>3500</v>
      </c>
      <c r="E12" s="128" t="s">
        <v>91</v>
      </c>
      <c r="F12" s="128" t="s">
        <v>98</v>
      </c>
      <c r="G12" s="128" t="s">
        <v>99</v>
      </c>
      <c r="H12" s="128" t="s">
        <v>100</v>
      </c>
      <c r="I12" s="129">
        <v>0</v>
      </c>
      <c r="J12" s="129">
        <v>1241246.54</v>
      </c>
    </row>
    <row r="13" spans="1:10">
      <c r="B13" s="128" t="s">
        <v>101</v>
      </c>
      <c r="C13" s="128" t="s">
        <v>50</v>
      </c>
      <c r="D13" s="128">
        <v>3501</v>
      </c>
      <c r="E13" s="128" t="s">
        <v>91</v>
      </c>
      <c r="F13" s="128" t="s">
        <v>102</v>
      </c>
      <c r="G13" s="128"/>
      <c r="H13" s="128" t="s">
        <v>100</v>
      </c>
      <c r="I13" s="129">
        <v>-100000</v>
      </c>
      <c r="J13" s="129">
        <v>1141246.54</v>
      </c>
    </row>
    <row r="14" spans="1:10">
      <c r="B14" s="128" t="s">
        <v>103</v>
      </c>
      <c r="C14" s="128" t="s">
        <v>50</v>
      </c>
      <c r="D14" s="128">
        <v>3503</v>
      </c>
      <c r="E14" s="128" t="s">
        <v>91</v>
      </c>
      <c r="F14" s="128" t="s">
        <v>52</v>
      </c>
      <c r="G14" s="128" t="s">
        <v>104</v>
      </c>
      <c r="H14" s="128" t="s">
        <v>105</v>
      </c>
      <c r="I14" s="129">
        <v>-300</v>
      </c>
      <c r="J14" s="129">
        <v>1140946.54</v>
      </c>
    </row>
    <row r="15" spans="1:10">
      <c r="B15" s="128" t="s">
        <v>103</v>
      </c>
      <c r="C15" s="128" t="s">
        <v>50</v>
      </c>
      <c r="D15" s="128">
        <v>3504</v>
      </c>
      <c r="E15" s="128" t="s">
        <v>91</v>
      </c>
      <c r="F15" s="128" t="s">
        <v>55</v>
      </c>
      <c r="G15" s="128" t="s">
        <v>106</v>
      </c>
      <c r="H15" s="128" t="s">
        <v>107</v>
      </c>
      <c r="I15" s="129">
        <v>-2539</v>
      </c>
      <c r="J15" s="129">
        <v>1138407.54</v>
      </c>
    </row>
    <row r="16" spans="1:10">
      <c r="B16" s="128" t="s">
        <v>103</v>
      </c>
      <c r="C16" s="128" t="s">
        <v>50</v>
      </c>
      <c r="D16" s="128">
        <v>3502</v>
      </c>
      <c r="E16" s="128" t="s">
        <v>91</v>
      </c>
      <c r="F16" s="128" t="s">
        <v>54</v>
      </c>
      <c r="G16" s="128" t="s">
        <v>104</v>
      </c>
      <c r="H16" s="130" t="s">
        <v>49</v>
      </c>
      <c r="I16" s="129">
        <v>-2691.47</v>
      </c>
      <c r="J16" s="129">
        <v>1135716.07</v>
      </c>
    </row>
    <row r="17" spans="2:10">
      <c r="B17" s="128" t="s">
        <v>108</v>
      </c>
      <c r="C17" s="128" t="s">
        <v>50</v>
      </c>
      <c r="D17" s="128">
        <v>3505</v>
      </c>
      <c r="E17" s="128" t="s">
        <v>91</v>
      </c>
      <c r="F17" s="128" t="s">
        <v>54</v>
      </c>
      <c r="G17" s="128" t="s">
        <v>109</v>
      </c>
      <c r="H17" s="130" t="s">
        <v>49</v>
      </c>
      <c r="I17" s="129">
        <v>0</v>
      </c>
      <c r="J17" s="129">
        <v>1135716.07</v>
      </c>
    </row>
    <row r="18" spans="2:10">
      <c r="B18" s="128" t="s">
        <v>108</v>
      </c>
      <c r="C18" s="128" t="s">
        <v>50</v>
      </c>
      <c r="D18" s="128">
        <v>3507</v>
      </c>
      <c r="E18" s="128" t="s">
        <v>91</v>
      </c>
      <c r="F18" s="128" t="s">
        <v>53</v>
      </c>
      <c r="G18" s="128" t="s">
        <v>111</v>
      </c>
      <c r="H18" s="128" t="s">
        <v>96</v>
      </c>
      <c r="I18" s="129">
        <v>-1013.26</v>
      </c>
      <c r="J18" s="129">
        <v>1134702.81</v>
      </c>
    </row>
    <row r="19" spans="2:10">
      <c r="B19" s="128" t="s">
        <v>108</v>
      </c>
      <c r="C19" s="128" t="s">
        <v>50</v>
      </c>
      <c r="D19" s="128">
        <v>3506</v>
      </c>
      <c r="E19" s="128" t="s">
        <v>91</v>
      </c>
      <c r="F19" s="128" t="s">
        <v>54</v>
      </c>
      <c r="G19" s="128" t="s">
        <v>110</v>
      </c>
      <c r="H19" s="130" t="s">
        <v>49</v>
      </c>
      <c r="I19" s="129">
        <v>-2691.47</v>
      </c>
      <c r="J19" s="129">
        <v>1132011.3400000001</v>
      </c>
    </row>
    <row r="20" spans="2:10">
      <c r="B20" s="128" t="s">
        <v>112</v>
      </c>
      <c r="C20" s="128" t="s">
        <v>50</v>
      </c>
      <c r="D20" s="128">
        <v>3509</v>
      </c>
      <c r="E20" s="128" t="s">
        <v>91</v>
      </c>
      <c r="F20" s="128" t="s">
        <v>54</v>
      </c>
      <c r="G20" s="128" t="s">
        <v>110</v>
      </c>
      <c r="H20" s="130" t="s">
        <v>49</v>
      </c>
      <c r="I20" s="129">
        <v>-2691.47</v>
      </c>
      <c r="J20" s="129">
        <v>1129319.8700000001</v>
      </c>
    </row>
    <row r="21" spans="2:10">
      <c r="B21" s="128" t="s">
        <v>112</v>
      </c>
      <c r="C21" s="128" t="s">
        <v>113</v>
      </c>
      <c r="D21" s="128">
        <v>3508</v>
      </c>
      <c r="E21" s="128" t="s">
        <v>91</v>
      </c>
      <c r="F21" s="128" t="s">
        <v>114</v>
      </c>
      <c r="G21" s="128"/>
      <c r="H21" s="128" t="s">
        <v>68</v>
      </c>
      <c r="I21" s="129">
        <v>-150000</v>
      </c>
      <c r="J21" s="129">
        <v>979319.87</v>
      </c>
    </row>
    <row r="22" spans="2:10">
      <c r="B22" s="128" t="s">
        <v>115</v>
      </c>
      <c r="C22" s="128" t="s">
        <v>50</v>
      </c>
      <c r="D22" s="128">
        <v>3512</v>
      </c>
      <c r="E22" s="128" t="s">
        <v>91</v>
      </c>
      <c r="F22" s="128" t="s">
        <v>52</v>
      </c>
      <c r="G22" s="128" t="s">
        <v>116</v>
      </c>
      <c r="H22" s="128" t="s">
        <v>105</v>
      </c>
      <c r="I22" s="129">
        <v>-390</v>
      </c>
      <c r="J22" s="129">
        <v>978929.87</v>
      </c>
    </row>
    <row r="23" spans="2:10">
      <c r="B23" s="128" t="s">
        <v>115</v>
      </c>
      <c r="C23" s="128" t="s">
        <v>50</v>
      </c>
      <c r="D23" s="128">
        <v>3510</v>
      </c>
      <c r="E23" s="128" t="s">
        <v>91</v>
      </c>
      <c r="F23" s="128" t="s">
        <v>54</v>
      </c>
      <c r="G23" s="128" t="s">
        <v>116</v>
      </c>
      <c r="H23" s="130" t="s">
        <v>49</v>
      </c>
      <c r="I23" s="129">
        <v>-2691.47</v>
      </c>
      <c r="J23" s="129">
        <v>976238.4</v>
      </c>
    </row>
    <row r="24" spans="2:10">
      <c r="B24" s="128" t="s">
        <v>115</v>
      </c>
      <c r="C24" s="128" t="s">
        <v>50</v>
      </c>
      <c r="D24" s="128">
        <v>3511</v>
      </c>
      <c r="E24" s="128" t="s">
        <v>91</v>
      </c>
      <c r="F24" s="128" t="s">
        <v>53</v>
      </c>
      <c r="G24" s="128" t="s">
        <v>117</v>
      </c>
      <c r="H24" s="128" t="s">
        <v>96</v>
      </c>
      <c r="I24" s="129">
        <v>-729.42</v>
      </c>
      <c r="J24" s="129">
        <v>975508.98</v>
      </c>
    </row>
    <row r="25" spans="2:10">
      <c r="B25" s="128" t="s">
        <v>118</v>
      </c>
      <c r="C25" s="128" t="s">
        <v>50</v>
      </c>
      <c r="D25" s="128">
        <v>3514</v>
      </c>
      <c r="E25" s="128" t="s">
        <v>91</v>
      </c>
      <c r="F25" s="128" t="s">
        <v>54</v>
      </c>
      <c r="G25" s="128" t="s">
        <v>116</v>
      </c>
      <c r="H25" s="130" t="s">
        <v>49</v>
      </c>
      <c r="I25" s="129">
        <v>-2691.47</v>
      </c>
      <c r="J25" s="129">
        <v>972817.51</v>
      </c>
    </row>
    <row r="26" spans="2:10">
      <c r="B26" s="128" t="s">
        <v>118</v>
      </c>
      <c r="C26" s="128" t="s">
        <v>113</v>
      </c>
      <c r="D26" s="128">
        <v>3513</v>
      </c>
      <c r="E26" s="128" t="s">
        <v>91</v>
      </c>
      <c r="F26" s="128" t="s">
        <v>71</v>
      </c>
      <c r="G26" s="128"/>
      <c r="H26" s="128" t="s">
        <v>68</v>
      </c>
      <c r="I26" s="129">
        <v>-48000</v>
      </c>
      <c r="J26" s="129">
        <v>924817.51</v>
      </c>
    </row>
    <row r="27" spans="2:10">
      <c r="B27" s="128" t="s">
        <v>119</v>
      </c>
      <c r="C27" s="128" t="s">
        <v>50</v>
      </c>
      <c r="D27" s="128">
        <v>3517</v>
      </c>
      <c r="E27" s="128" t="s">
        <v>91</v>
      </c>
      <c r="F27" s="128" t="s">
        <v>53</v>
      </c>
      <c r="G27" s="128" t="s">
        <v>117</v>
      </c>
      <c r="H27" s="128" t="s">
        <v>96</v>
      </c>
      <c r="I27" s="129">
        <v>-1188.2</v>
      </c>
      <c r="J27" s="129">
        <v>923629.31</v>
      </c>
    </row>
    <row r="28" spans="2:10">
      <c r="B28" s="128" t="s">
        <v>119</v>
      </c>
      <c r="C28" s="128" t="s">
        <v>50</v>
      </c>
      <c r="D28" s="128">
        <v>3516</v>
      </c>
      <c r="E28" s="128" t="s">
        <v>91</v>
      </c>
      <c r="F28" s="128" t="s">
        <v>72</v>
      </c>
      <c r="G28" s="128"/>
      <c r="H28" s="128" t="s">
        <v>120</v>
      </c>
      <c r="I28" s="129">
        <v>-3500</v>
      </c>
      <c r="J28" s="129">
        <v>920129.31</v>
      </c>
    </row>
    <row r="29" spans="2:10">
      <c r="B29" s="128" t="s">
        <v>119</v>
      </c>
      <c r="C29" s="128" t="s">
        <v>50</v>
      </c>
      <c r="D29" s="128">
        <v>3515</v>
      </c>
      <c r="E29" s="128" t="s">
        <v>91</v>
      </c>
      <c r="F29" s="128" t="s">
        <v>54</v>
      </c>
      <c r="G29" s="128" t="s">
        <v>116</v>
      </c>
      <c r="H29" s="130" t="s">
        <v>49</v>
      </c>
      <c r="I29" s="129">
        <v>-2691.47</v>
      </c>
      <c r="J29" s="129">
        <v>917437.84</v>
      </c>
    </row>
    <row r="30" spans="2:10">
      <c r="B30" s="128" t="s">
        <v>121</v>
      </c>
      <c r="C30" s="128" t="s">
        <v>50</v>
      </c>
      <c r="D30" s="128">
        <v>3518</v>
      </c>
      <c r="E30" s="128" t="s">
        <v>91</v>
      </c>
      <c r="F30" s="128" t="s">
        <v>54</v>
      </c>
      <c r="G30" s="128" t="s">
        <v>122</v>
      </c>
      <c r="H30" s="130" t="s">
        <v>49</v>
      </c>
      <c r="I30" s="129">
        <v>-2691.47</v>
      </c>
      <c r="J30" s="129">
        <v>914746.37</v>
      </c>
    </row>
    <row r="31" spans="2:10">
      <c r="B31" s="128" t="s">
        <v>195</v>
      </c>
      <c r="C31" s="128" t="s">
        <v>50</v>
      </c>
      <c r="D31" s="128">
        <v>3519</v>
      </c>
      <c r="E31" s="128" t="s">
        <v>91</v>
      </c>
      <c r="F31" s="128" t="s">
        <v>54</v>
      </c>
      <c r="G31" s="128" t="s">
        <v>122</v>
      </c>
      <c r="H31" s="130" t="s">
        <v>49</v>
      </c>
      <c r="I31" s="129">
        <v>-2838.91</v>
      </c>
      <c r="J31" s="129">
        <v>911907.46</v>
      </c>
    </row>
    <row r="32" spans="2:10">
      <c r="B32" s="128" t="s">
        <v>195</v>
      </c>
      <c r="C32" s="128" t="s">
        <v>50</v>
      </c>
      <c r="D32" s="128">
        <v>3520</v>
      </c>
      <c r="E32" s="128" t="s">
        <v>91</v>
      </c>
      <c r="F32" s="128" t="s">
        <v>52</v>
      </c>
      <c r="G32" s="128" t="s">
        <v>116</v>
      </c>
      <c r="H32" s="128" t="s">
        <v>105</v>
      </c>
      <c r="I32" s="129">
        <v>-60</v>
      </c>
      <c r="J32" s="129">
        <v>911847.46</v>
      </c>
    </row>
    <row r="33" spans="1:10">
      <c r="A33" s="127" t="s">
        <v>123</v>
      </c>
      <c r="I33" s="131">
        <v>-333143.39</v>
      </c>
    </row>
    <row r="34" spans="1:10">
      <c r="A34" s="127" t="s">
        <v>100</v>
      </c>
    </row>
    <row r="35" spans="1:10">
      <c r="B35" s="128" t="s">
        <v>89</v>
      </c>
      <c r="J35" s="129">
        <v>2239471.0699999998</v>
      </c>
    </row>
    <row r="36" spans="1:10">
      <c r="B36" s="128" t="s">
        <v>90</v>
      </c>
      <c r="C36" s="128" t="s">
        <v>50</v>
      </c>
      <c r="D36" s="128">
        <v>3500</v>
      </c>
      <c r="E36" s="128" t="s">
        <v>91</v>
      </c>
      <c r="F36" s="128" t="s">
        <v>98</v>
      </c>
      <c r="G36" s="128"/>
      <c r="H36" s="128" t="s">
        <v>51</v>
      </c>
      <c r="I36" s="129">
        <v>0</v>
      </c>
      <c r="J36" s="129">
        <v>2239471.0699999998</v>
      </c>
    </row>
    <row r="37" spans="1:10">
      <c r="B37" s="128" t="s">
        <v>101</v>
      </c>
      <c r="C37" s="128" t="s">
        <v>50</v>
      </c>
      <c r="D37" s="128">
        <v>3501</v>
      </c>
      <c r="E37" s="128" t="s">
        <v>91</v>
      </c>
      <c r="F37" s="128" t="s">
        <v>102</v>
      </c>
      <c r="G37" s="128" t="s">
        <v>124</v>
      </c>
      <c r="H37" s="128" t="s">
        <v>51</v>
      </c>
      <c r="I37" s="129">
        <v>100000</v>
      </c>
      <c r="J37" s="129">
        <v>2339471.0699999998</v>
      </c>
    </row>
    <row r="38" spans="1:10">
      <c r="B38" s="128" t="s">
        <v>125</v>
      </c>
      <c r="C38" s="128" t="s">
        <v>48</v>
      </c>
      <c r="D38" s="128">
        <v>72</v>
      </c>
      <c r="E38" s="128" t="s">
        <v>91</v>
      </c>
      <c r="F38" s="128"/>
      <c r="G38" s="128"/>
      <c r="H38" s="130" t="s">
        <v>49</v>
      </c>
      <c r="I38" s="129">
        <v>-76343.429999999993</v>
      </c>
      <c r="J38" s="129">
        <v>2263127.64</v>
      </c>
    </row>
    <row r="39" spans="1:10">
      <c r="B39" s="128" t="s">
        <v>126</v>
      </c>
      <c r="C39" s="128" t="s">
        <v>48</v>
      </c>
      <c r="D39" s="128">
        <v>73</v>
      </c>
      <c r="E39" s="128" t="s">
        <v>91</v>
      </c>
      <c r="F39" s="128"/>
      <c r="G39" s="128"/>
      <c r="H39" s="130" t="s">
        <v>49</v>
      </c>
      <c r="I39" s="129">
        <v>-39868.47</v>
      </c>
      <c r="J39" s="129">
        <v>2223259.17</v>
      </c>
    </row>
    <row r="40" spans="1:10">
      <c r="B40" s="128" t="s">
        <v>127</v>
      </c>
      <c r="C40" s="128" t="s">
        <v>48</v>
      </c>
      <c r="D40" s="128">
        <v>74</v>
      </c>
      <c r="E40" s="128" t="s">
        <v>91</v>
      </c>
      <c r="F40" s="128"/>
      <c r="G40" s="128"/>
      <c r="H40" s="130" t="s">
        <v>49</v>
      </c>
      <c r="I40" s="129">
        <v>22847.61</v>
      </c>
      <c r="J40" s="129">
        <v>2246106.7799999998</v>
      </c>
    </row>
    <row r="41" spans="1:10">
      <c r="B41" s="128" t="s">
        <v>128</v>
      </c>
      <c r="C41" s="128" t="s">
        <v>48</v>
      </c>
      <c r="D41" s="128">
        <v>75</v>
      </c>
      <c r="E41" s="128" t="s">
        <v>91</v>
      </c>
      <c r="F41" s="128"/>
      <c r="G41" s="128"/>
      <c r="H41" s="130" t="s">
        <v>49</v>
      </c>
      <c r="I41" s="129">
        <v>-135278.92000000001</v>
      </c>
      <c r="J41" s="129">
        <v>2110827.86</v>
      </c>
    </row>
    <row r="42" spans="1:10">
      <c r="B42" s="128" t="s">
        <v>129</v>
      </c>
      <c r="C42" s="128" t="s">
        <v>48</v>
      </c>
      <c r="D42" s="128">
        <v>76</v>
      </c>
      <c r="E42" s="128" t="s">
        <v>91</v>
      </c>
      <c r="F42" s="128"/>
      <c r="G42" s="128"/>
      <c r="H42" s="130" t="s">
        <v>49</v>
      </c>
      <c r="I42" s="129">
        <v>7910.43</v>
      </c>
      <c r="J42" s="129">
        <v>2118738.29</v>
      </c>
    </row>
    <row r="43" spans="1:10">
      <c r="B43" s="128" t="s">
        <v>130</v>
      </c>
      <c r="C43" s="128" t="s">
        <v>48</v>
      </c>
      <c r="D43" s="128">
        <v>77</v>
      </c>
      <c r="E43" s="128" t="s">
        <v>91</v>
      </c>
      <c r="F43" s="128"/>
      <c r="G43" s="128"/>
      <c r="H43" s="130" t="s">
        <v>49</v>
      </c>
      <c r="I43" s="129">
        <v>-114299.86</v>
      </c>
      <c r="J43" s="129">
        <v>2004438.43</v>
      </c>
    </row>
    <row r="44" spans="1:10">
      <c r="B44" s="128" t="s">
        <v>131</v>
      </c>
      <c r="C44" s="128" t="s">
        <v>48</v>
      </c>
      <c r="D44" s="128">
        <v>80</v>
      </c>
      <c r="E44" s="128" t="s">
        <v>91</v>
      </c>
      <c r="F44" s="128"/>
      <c r="G44" s="128"/>
      <c r="H44" s="130" t="s">
        <v>49</v>
      </c>
      <c r="I44" s="129">
        <v>99734.85</v>
      </c>
      <c r="J44" s="129">
        <v>2104173.2799999998</v>
      </c>
    </row>
    <row r="45" spans="1:10">
      <c r="B45" s="128" t="s">
        <v>132</v>
      </c>
      <c r="C45" s="128" t="s">
        <v>48</v>
      </c>
      <c r="D45" s="128">
        <v>81</v>
      </c>
      <c r="E45" s="128" t="s">
        <v>91</v>
      </c>
      <c r="F45" s="128"/>
      <c r="G45" s="128"/>
      <c r="H45" s="130" t="s">
        <v>49</v>
      </c>
      <c r="I45" s="129">
        <v>-58435.05</v>
      </c>
      <c r="J45" s="129">
        <v>2045738.23</v>
      </c>
    </row>
    <row r="46" spans="1:10">
      <c r="A46" s="127" t="s">
        <v>133</v>
      </c>
      <c r="I46" s="131">
        <v>-193732.84</v>
      </c>
    </row>
    <row r="47" spans="1:10">
      <c r="A47" s="127" t="s">
        <v>68</v>
      </c>
    </row>
    <row r="48" spans="1:10">
      <c r="B48" s="128" t="s">
        <v>89</v>
      </c>
      <c r="J48" s="129">
        <v>550000</v>
      </c>
    </row>
    <row r="49" spans="1:10">
      <c r="B49" s="128" t="s">
        <v>112</v>
      </c>
      <c r="C49" s="128" t="s">
        <v>113</v>
      </c>
      <c r="D49" s="128">
        <v>3508</v>
      </c>
      <c r="E49" s="128" t="s">
        <v>91</v>
      </c>
      <c r="F49" s="128" t="s">
        <v>114</v>
      </c>
      <c r="G49" s="128"/>
      <c r="H49" s="128" t="s">
        <v>51</v>
      </c>
      <c r="I49" s="129">
        <v>-150000</v>
      </c>
      <c r="J49" s="129">
        <v>400000</v>
      </c>
    </row>
    <row r="50" spans="1:10">
      <c r="B50" s="128" t="s">
        <v>118</v>
      </c>
      <c r="C50" s="128" t="s">
        <v>113</v>
      </c>
      <c r="D50" s="128">
        <v>3513</v>
      </c>
      <c r="E50" s="128" t="s">
        <v>91</v>
      </c>
      <c r="F50" s="128" t="s">
        <v>71</v>
      </c>
      <c r="G50" s="128"/>
      <c r="H50" s="128" t="s">
        <v>51</v>
      </c>
      <c r="I50" s="129">
        <v>-48000</v>
      </c>
      <c r="J50" s="129">
        <v>352000</v>
      </c>
    </row>
    <row r="51" spans="1:10">
      <c r="B51" s="128" t="s">
        <v>131</v>
      </c>
      <c r="C51" s="128" t="s">
        <v>48</v>
      </c>
      <c r="D51" s="128">
        <v>79</v>
      </c>
      <c r="E51" s="128" t="s">
        <v>91</v>
      </c>
      <c r="F51" s="128"/>
      <c r="G51" s="128"/>
      <c r="H51" s="130" t="s">
        <v>49</v>
      </c>
      <c r="I51" s="129">
        <v>-2000</v>
      </c>
      <c r="J51" s="129">
        <v>350000</v>
      </c>
    </row>
    <row r="52" spans="1:10">
      <c r="B52" s="128" t="s">
        <v>134</v>
      </c>
      <c r="C52" s="128" t="s">
        <v>113</v>
      </c>
      <c r="D52" s="128">
        <v>3518</v>
      </c>
      <c r="E52" s="128" t="s">
        <v>91</v>
      </c>
      <c r="F52" s="128" t="s">
        <v>71</v>
      </c>
      <c r="G52" s="128"/>
      <c r="H52" s="130" t="s">
        <v>49</v>
      </c>
      <c r="I52" s="132"/>
      <c r="J52" s="129">
        <v>350000</v>
      </c>
    </row>
    <row r="53" spans="1:10">
      <c r="A53" s="127" t="s">
        <v>135</v>
      </c>
      <c r="I53" s="131">
        <v>-200000</v>
      </c>
    </row>
    <row r="54" spans="1:10">
      <c r="A54" s="127" t="s">
        <v>136</v>
      </c>
    </row>
    <row r="55" spans="1:10">
      <c r="B55" s="128" t="s">
        <v>89</v>
      </c>
      <c r="J55" s="129">
        <v>2934461.92</v>
      </c>
    </row>
    <row r="56" spans="1:10">
      <c r="A56" s="127" t="s">
        <v>137</v>
      </c>
      <c r="I56" s="131"/>
    </row>
    <row r="57" spans="1:10">
      <c r="A57" s="127" t="s">
        <v>73</v>
      </c>
    </row>
    <row r="58" spans="1:10">
      <c r="A58" s="127" t="s">
        <v>138</v>
      </c>
    </row>
    <row r="59" spans="1:10">
      <c r="B59" s="128" t="s">
        <v>131</v>
      </c>
      <c r="C59" s="128" t="s">
        <v>48</v>
      </c>
      <c r="D59" s="128">
        <v>79</v>
      </c>
      <c r="E59" s="128" t="s">
        <v>91</v>
      </c>
      <c r="F59" s="128"/>
      <c r="G59" s="128"/>
      <c r="H59" s="130" t="s">
        <v>49</v>
      </c>
      <c r="I59" s="129">
        <v>-2000</v>
      </c>
      <c r="J59" s="129">
        <v>-2000</v>
      </c>
    </row>
    <row r="60" spans="1:10">
      <c r="A60" s="127" t="s">
        <v>139</v>
      </c>
      <c r="I60" s="131">
        <v>-2000</v>
      </c>
    </row>
    <row r="61" spans="1:10">
      <c r="A61" s="127" t="s">
        <v>140</v>
      </c>
      <c r="I61" s="131">
        <v>-2000</v>
      </c>
    </row>
    <row r="62" spans="1:10">
      <c r="A62" s="127" t="s">
        <v>141</v>
      </c>
    </row>
    <row r="63" spans="1:10">
      <c r="A63" s="127" t="s">
        <v>142</v>
      </c>
    </row>
    <row r="64" spans="1:10">
      <c r="B64" s="128" t="s">
        <v>103</v>
      </c>
      <c r="C64" s="128" t="s">
        <v>50</v>
      </c>
      <c r="D64" s="128">
        <v>3503</v>
      </c>
      <c r="E64" s="128" t="s">
        <v>91</v>
      </c>
      <c r="F64" s="128" t="s">
        <v>52</v>
      </c>
      <c r="G64" s="128"/>
      <c r="H64" s="128" t="s">
        <v>51</v>
      </c>
      <c r="I64" s="129">
        <v>300</v>
      </c>
      <c r="J64" s="129">
        <v>300</v>
      </c>
    </row>
    <row r="65" spans="1:13">
      <c r="B65" s="128" t="s">
        <v>115</v>
      </c>
      <c r="C65" s="128" t="s">
        <v>50</v>
      </c>
      <c r="D65" s="128">
        <v>3512</v>
      </c>
      <c r="E65" s="128" t="s">
        <v>91</v>
      </c>
      <c r="F65" s="128" t="s">
        <v>52</v>
      </c>
      <c r="G65" s="128"/>
      <c r="H65" s="128" t="s">
        <v>51</v>
      </c>
      <c r="I65" s="129">
        <v>390</v>
      </c>
      <c r="J65" s="129">
        <v>690</v>
      </c>
    </row>
    <row r="66" spans="1:13">
      <c r="B66" s="128" t="s">
        <v>195</v>
      </c>
      <c r="C66" s="128" t="s">
        <v>50</v>
      </c>
      <c r="D66" s="128">
        <v>3520</v>
      </c>
      <c r="E66" s="128" t="s">
        <v>91</v>
      </c>
      <c r="F66" s="128" t="s">
        <v>52</v>
      </c>
      <c r="G66" s="128"/>
      <c r="H66" s="128" t="s">
        <v>51</v>
      </c>
      <c r="I66" s="129">
        <v>60</v>
      </c>
      <c r="J66" s="129">
        <v>750</v>
      </c>
    </row>
    <row r="67" spans="1:13">
      <c r="A67" s="127" t="s">
        <v>143</v>
      </c>
      <c r="I67" s="131">
        <v>750</v>
      </c>
      <c r="M67" s="122">
        <f>+I67</f>
        <v>750</v>
      </c>
    </row>
    <row r="68" spans="1:13">
      <c r="A68" s="127" t="s">
        <v>144</v>
      </c>
      <c r="L68" s="124" t="s">
        <v>199</v>
      </c>
      <c r="M68" s="123">
        <f>+'10.1.21 - 12.31.21 GL'!I44</f>
        <v>1710</v>
      </c>
    </row>
    <row r="69" spans="1:13">
      <c r="B69" s="128" t="s">
        <v>90</v>
      </c>
      <c r="C69" s="128" t="s">
        <v>50</v>
      </c>
      <c r="D69" s="128">
        <v>3499</v>
      </c>
      <c r="E69" s="128" t="s">
        <v>91</v>
      </c>
      <c r="F69" s="128" t="s">
        <v>53</v>
      </c>
      <c r="G69" s="128" t="s">
        <v>145</v>
      </c>
      <c r="H69" s="128" t="s">
        <v>51</v>
      </c>
      <c r="I69" s="129">
        <v>771.34</v>
      </c>
      <c r="J69" s="129">
        <v>771.34</v>
      </c>
      <c r="L69" s="124" t="s">
        <v>201</v>
      </c>
      <c r="M69" s="147">
        <f>+M67+M68</f>
        <v>2460</v>
      </c>
    </row>
    <row r="70" spans="1:13">
      <c r="B70" s="128" t="s">
        <v>108</v>
      </c>
      <c r="C70" s="128" t="s">
        <v>50</v>
      </c>
      <c r="D70" s="128">
        <v>3507</v>
      </c>
      <c r="E70" s="128" t="s">
        <v>91</v>
      </c>
      <c r="F70" s="128" t="s">
        <v>53</v>
      </c>
      <c r="G70" s="128" t="s">
        <v>146</v>
      </c>
      <c r="H70" s="128" t="s">
        <v>51</v>
      </c>
      <c r="I70" s="129">
        <v>1013.26</v>
      </c>
      <c r="J70" s="129">
        <v>1784.6</v>
      </c>
    </row>
    <row r="71" spans="1:13">
      <c r="B71" s="128" t="s">
        <v>115</v>
      </c>
      <c r="C71" s="128" t="s">
        <v>50</v>
      </c>
      <c r="D71" s="128">
        <v>3511</v>
      </c>
      <c r="E71" s="128" t="s">
        <v>91</v>
      </c>
      <c r="F71" s="128" t="s">
        <v>53</v>
      </c>
      <c r="G71" s="128" t="s">
        <v>147</v>
      </c>
      <c r="H71" s="128" t="s">
        <v>51</v>
      </c>
      <c r="I71" s="129">
        <v>729.42</v>
      </c>
      <c r="J71" s="129">
        <v>2514.02</v>
      </c>
    </row>
    <row r="72" spans="1:13">
      <c r="B72" s="128" t="s">
        <v>119</v>
      </c>
      <c r="C72" s="128" t="s">
        <v>50</v>
      </c>
      <c r="D72" s="128">
        <v>3517</v>
      </c>
      <c r="E72" s="128" t="s">
        <v>91</v>
      </c>
      <c r="F72" s="128" t="s">
        <v>53</v>
      </c>
      <c r="G72" s="128" t="s">
        <v>148</v>
      </c>
      <c r="H72" s="128" t="s">
        <v>51</v>
      </c>
      <c r="I72" s="129">
        <v>1188.2</v>
      </c>
      <c r="J72" s="129">
        <v>3702.22</v>
      </c>
    </row>
    <row r="73" spans="1:13">
      <c r="A73" s="127" t="s">
        <v>149</v>
      </c>
      <c r="I73" s="131">
        <v>3702.22</v>
      </c>
      <c r="M73" s="122">
        <f>+I73</f>
        <v>3702.22</v>
      </c>
    </row>
    <row r="74" spans="1:13">
      <c r="A74" s="127" t="s">
        <v>150</v>
      </c>
      <c r="L74" s="124" t="s">
        <v>199</v>
      </c>
      <c r="M74" s="123">
        <f>+'10.1.21 - 12.31.21 GL'!I48</f>
        <v>1484.85</v>
      </c>
    </row>
    <row r="75" spans="1:13">
      <c r="B75" s="128" t="s">
        <v>90</v>
      </c>
      <c r="C75" s="128" t="s">
        <v>50</v>
      </c>
      <c r="D75" s="128">
        <v>3496</v>
      </c>
      <c r="E75" s="128" t="s">
        <v>91</v>
      </c>
      <c r="F75" s="128" t="s">
        <v>54</v>
      </c>
      <c r="G75" s="128"/>
      <c r="H75" s="128" t="s">
        <v>51</v>
      </c>
      <c r="I75" s="129">
        <v>2666</v>
      </c>
      <c r="J75" s="129">
        <v>2666</v>
      </c>
      <c r="L75" s="124" t="s">
        <v>202</v>
      </c>
      <c r="M75" s="147">
        <f>+M73+M74</f>
        <v>5187.07</v>
      </c>
    </row>
    <row r="76" spans="1:13">
      <c r="B76" s="128" t="s">
        <v>103</v>
      </c>
      <c r="C76" s="128" t="s">
        <v>50</v>
      </c>
      <c r="D76" s="128">
        <v>3502</v>
      </c>
      <c r="E76" s="128" t="s">
        <v>91</v>
      </c>
      <c r="F76" s="128" t="s">
        <v>54</v>
      </c>
      <c r="G76" s="128"/>
      <c r="H76" s="128" t="s">
        <v>51</v>
      </c>
      <c r="I76" s="129">
        <v>2666</v>
      </c>
      <c r="J76" s="129">
        <v>5332</v>
      </c>
    </row>
    <row r="77" spans="1:13">
      <c r="B77" s="128" t="s">
        <v>108</v>
      </c>
      <c r="C77" s="128" t="s">
        <v>50</v>
      </c>
      <c r="D77" s="128">
        <v>3506</v>
      </c>
      <c r="E77" s="128" t="s">
        <v>91</v>
      </c>
      <c r="F77" s="128" t="s">
        <v>54</v>
      </c>
      <c r="G77" s="128"/>
      <c r="H77" s="128" t="s">
        <v>51</v>
      </c>
      <c r="I77" s="129">
        <v>2666</v>
      </c>
      <c r="J77" s="129">
        <v>7998</v>
      </c>
    </row>
    <row r="78" spans="1:13">
      <c r="B78" s="128" t="s">
        <v>108</v>
      </c>
      <c r="C78" s="128" t="s">
        <v>50</v>
      </c>
      <c r="D78" s="128">
        <v>3505</v>
      </c>
      <c r="E78" s="128" t="s">
        <v>91</v>
      </c>
      <c r="F78" s="128" t="s">
        <v>54</v>
      </c>
      <c r="G78" s="128"/>
      <c r="H78" s="128" t="s">
        <v>51</v>
      </c>
      <c r="I78" s="129">
        <v>0</v>
      </c>
      <c r="J78" s="129">
        <v>7998</v>
      </c>
    </row>
    <row r="79" spans="1:13">
      <c r="B79" s="128" t="s">
        <v>112</v>
      </c>
      <c r="C79" s="128" t="s">
        <v>50</v>
      </c>
      <c r="D79" s="128">
        <v>3509</v>
      </c>
      <c r="E79" s="128" t="s">
        <v>91</v>
      </c>
      <c r="F79" s="128" t="s">
        <v>54</v>
      </c>
      <c r="G79" s="128"/>
      <c r="H79" s="128" t="s">
        <v>51</v>
      </c>
      <c r="I79" s="129">
        <v>2666</v>
      </c>
      <c r="J79" s="129">
        <v>10664</v>
      </c>
    </row>
    <row r="80" spans="1:13">
      <c r="B80" s="128" t="s">
        <v>115</v>
      </c>
      <c r="C80" s="128" t="s">
        <v>50</v>
      </c>
      <c r="D80" s="128">
        <v>3510</v>
      </c>
      <c r="E80" s="128" t="s">
        <v>91</v>
      </c>
      <c r="F80" s="128" t="s">
        <v>54</v>
      </c>
      <c r="G80" s="128"/>
      <c r="H80" s="128" t="s">
        <v>51</v>
      </c>
      <c r="I80" s="129">
        <v>2666</v>
      </c>
      <c r="J80" s="129">
        <v>13330</v>
      </c>
    </row>
    <row r="81" spans="1:13">
      <c r="B81" s="128" t="s">
        <v>118</v>
      </c>
      <c r="C81" s="128" t="s">
        <v>50</v>
      </c>
      <c r="D81" s="128">
        <v>3514</v>
      </c>
      <c r="E81" s="128" t="s">
        <v>91</v>
      </c>
      <c r="F81" s="128" t="s">
        <v>54</v>
      </c>
      <c r="G81" s="128"/>
      <c r="H81" s="128" t="s">
        <v>51</v>
      </c>
      <c r="I81" s="129">
        <v>2666</v>
      </c>
      <c r="J81" s="129">
        <v>15996</v>
      </c>
    </row>
    <row r="82" spans="1:13">
      <c r="B82" s="128" t="s">
        <v>119</v>
      </c>
      <c r="C82" s="128" t="s">
        <v>50</v>
      </c>
      <c r="D82" s="128">
        <v>3515</v>
      </c>
      <c r="E82" s="128" t="s">
        <v>91</v>
      </c>
      <c r="F82" s="128" t="s">
        <v>54</v>
      </c>
      <c r="G82" s="128"/>
      <c r="H82" s="128" t="s">
        <v>51</v>
      </c>
      <c r="I82" s="129">
        <v>2666</v>
      </c>
      <c r="J82" s="129">
        <v>18662</v>
      </c>
    </row>
    <row r="83" spans="1:13">
      <c r="B83" s="128" t="s">
        <v>121</v>
      </c>
      <c r="C83" s="128" t="s">
        <v>50</v>
      </c>
      <c r="D83" s="128">
        <v>3518</v>
      </c>
      <c r="E83" s="128" t="s">
        <v>91</v>
      </c>
      <c r="F83" s="128" t="s">
        <v>54</v>
      </c>
      <c r="G83" s="128"/>
      <c r="H83" s="128" t="s">
        <v>51</v>
      </c>
      <c r="I83" s="129">
        <v>2666</v>
      </c>
      <c r="J83" s="129">
        <v>21328</v>
      </c>
    </row>
    <row r="84" spans="1:13">
      <c r="B84" s="128" t="s">
        <v>195</v>
      </c>
      <c r="C84" s="128" t="s">
        <v>50</v>
      </c>
      <c r="D84" s="128">
        <v>3519</v>
      </c>
      <c r="E84" s="128" t="s">
        <v>91</v>
      </c>
      <c r="F84" s="128" t="s">
        <v>54</v>
      </c>
      <c r="G84" s="128"/>
      <c r="H84" s="128" t="s">
        <v>51</v>
      </c>
      <c r="I84" s="129">
        <v>2666</v>
      </c>
      <c r="J84" s="129">
        <v>23994</v>
      </c>
    </row>
    <row r="85" spans="1:13">
      <c r="A85" s="127" t="s">
        <v>151</v>
      </c>
      <c r="I85" s="131">
        <v>23994</v>
      </c>
      <c r="M85" s="122">
        <f>+I85</f>
        <v>23994</v>
      </c>
    </row>
    <row r="86" spans="1:13">
      <c r="A86" s="127" t="s">
        <v>152</v>
      </c>
      <c r="I86" s="131">
        <v>28446.22</v>
      </c>
      <c r="L86" s="124" t="s">
        <v>199</v>
      </c>
      <c r="M86" s="123">
        <f>+I84*3</f>
        <v>7998</v>
      </c>
    </row>
    <row r="87" spans="1:13">
      <c r="A87" s="127" t="s">
        <v>120</v>
      </c>
      <c r="L87" s="124" t="s">
        <v>203</v>
      </c>
      <c r="M87" s="147">
        <f>+M85+M86</f>
        <v>31992</v>
      </c>
    </row>
    <row r="88" spans="1:13">
      <c r="B88" s="128" t="s">
        <v>119</v>
      </c>
      <c r="C88" s="128" t="s">
        <v>50</v>
      </c>
      <c r="D88" s="128">
        <v>3516</v>
      </c>
      <c r="E88" s="128" t="s">
        <v>91</v>
      </c>
      <c r="F88" s="128" t="s">
        <v>72</v>
      </c>
      <c r="G88" s="128" t="s">
        <v>153</v>
      </c>
      <c r="H88" s="128" t="s">
        <v>51</v>
      </c>
      <c r="I88" s="129">
        <v>3500</v>
      </c>
      <c r="J88" s="129">
        <v>3500</v>
      </c>
    </row>
    <row r="89" spans="1:13">
      <c r="A89" s="127" t="s">
        <v>154</v>
      </c>
      <c r="I89" s="131">
        <v>3500</v>
      </c>
      <c r="L89" s="124" t="s">
        <v>86</v>
      </c>
      <c r="M89" s="147">
        <f>+M69+M75+M87</f>
        <v>39639.07</v>
      </c>
    </row>
    <row r="90" spans="1:13">
      <c r="A90" s="127" t="s">
        <v>107</v>
      </c>
      <c r="M90" s="122">
        <f>45000-M89</f>
        <v>5360.93</v>
      </c>
    </row>
    <row r="91" spans="1:13">
      <c r="B91" s="128" t="s">
        <v>103</v>
      </c>
      <c r="C91" s="128" t="s">
        <v>50</v>
      </c>
      <c r="D91" s="128">
        <v>3504</v>
      </c>
      <c r="E91" s="128" t="s">
        <v>91</v>
      </c>
      <c r="F91" s="128" t="s">
        <v>55</v>
      </c>
      <c r="G91" s="128"/>
      <c r="H91" s="128" t="s">
        <v>51</v>
      </c>
      <c r="I91" s="129">
        <v>2539</v>
      </c>
      <c r="J91" s="129">
        <v>2539</v>
      </c>
    </row>
    <row r="92" spans="1:13">
      <c r="A92" s="127" t="s">
        <v>155</v>
      </c>
      <c r="I92" s="131">
        <v>2539</v>
      </c>
    </row>
    <row r="93" spans="1:13">
      <c r="A93" s="127" t="s">
        <v>156</v>
      </c>
    </row>
    <row r="94" spans="1:13">
      <c r="A94" s="127" t="s">
        <v>157</v>
      </c>
    </row>
    <row r="95" spans="1:13">
      <c r="B95" s="128" t="s">
        <v>90</v>
      </c>
      <c r="C95" s="128" t="s">
        <v>50</v>
      </c>
      <c r="D95" s="128">
        <v>3496</v>
      </c>
      <c r="E95" s="128" t="s">
        <v>91</v>
      </c>
      <c r="F95" s="128" t="s">
        <v>54</v>
      </c>
      <c r="G95" s="128" t="s">
        <v>56</v>
      </c>
      <c r="H95" s="128" t="s">
        <v>51</v>
      </c>
      <c r="I95" s="129">
        <v>15.48</v>
      </c>
      <c r="J95" s="129">
        <v>15.48</v>
      </c>
    </row>
    <row r="96" spans="1:13">
      <c r="B96" s="128" t="s">
        <v>90</v>
      </c>
      <c r="C96" s="128" t="s">
        <v>50</v>
      </c>
      <c r="D96" s="128">
        <v>3497</v>
      </c>
      <c r="E96" s="128" t="s">
        <v>91</v>
      </c>
      <c r="F96" s="128" t="s">
        <v>69</v>
      </c>
      <c r="G96" s="128" t="s">
        <v>94</v>
      </c>
      <c r="H96" s="128" t="s">
        <v>51</v>
      </c>
      <c r="I96" s="129">
        <v>132</v>
      </c>
      <c r="J96" s="129">
        <v>147.47999999999999</v>
      </c>
    </row>
    <row r="97" spans="2:10">
      <c r="B97" s="128" t="s">
        <v>90</v>
      </c>
      <c r="C97" s="128" t="s">
        <v>50</v>
      </c>
      <c r="D97" s="128">
        <v>3496</v>
      </c>
      <c r="E97" s="128" t="s">
        <v>91</v>
      </c>
      <c r="F97" s="128" t="s">
        <v>54</v>
      </c>
      <c r="G97" s="128" t="s">
        <v>57</v>
      </c>
      <c r="H97" s="128" t="s">
        <v>51</v>
      </c>
      <c r="I97" s="129">
        <v>9.99</v>
      </c>
      <c r="J97" s="129">
        <v>157.47</v>
      </c>
    </row>
    <row r="98" spans="2:10">
      <c r="B98" s="128" t="s">
        <v>103</v>
      </c>
      <c r="C98" s="128" t="s">
        <v>50</v>
      </c>
      <c r="D98" s="128">
        <v>3502</v>
      </c>
      <c r="E98" s="128" t="s">
        <v>91</v>
      </c>
      <c r="F98" s="128" t="s">
        <v>54</v>
      </c>
      <c r="G98" s="128" t="s">
        <v>56</v>
      </c>
      <c r="H98" s="128" t="s">
        <v>51</v>
      </c>
      <c r="I98" s="129">
        <v>15.48</v>
      </c>
      <c r="J98" s="129">
        <v>172.95</v>
      </c>
    </row>
    <row r="99" spans="2:10">
      <c r="B99" s="128" t="s">
        <v>103</v>
      </c>
      <c r="C99" s="128" t="s">
        <v>50</v>
      </c>
      <c r="D99" s="128">
        <v>3502</v>
      </c>
      <c r="E99" s="128" t="s">
        <v>91</v>
      </c>
      <c r="F99" s="128" t="s">
        <v>54</v>
      </c>
      <c r="G99" s="128" t="s">
        <v>57</v>
      </c>
      <c r="H99" s="128" t="s">
        <v>51</v>
      </c>
      <c r="I99" s="129">
        <v>9.99</v>
      </c>
      <c r="J99" s="129">
        <v>182.94</v>
      </c>
    </row>
    <row r="100" spans="2:10">
      <c r="B100" s="128" t="s">
        <v>108</v>
      </c>
      <c r="C100" s="128" t="s">
        <v>50</v>
      </c>
      <c r="D100" s="128">
        <v>3506</v>
      </c>
      <c r="E100" s="128" t="s">
        <v>91</v>
      </c>
      <c r="F100" s="128" t="s">
        <v>54</v>
      </c>
      <c r="G100" s="128" t="s">
        <v>56</v>
      </c>
      <c r="H100" s="128" t="s">
        <v>51</v>
      </c>
      <c r="I100" s="129">
        <v>15.48</v>
      </c>
      <c r="J100" s="129">
        <v>198.42</v>
      </c>
    </row>
    <row r="101" spans="2:10">
      <c r="B101" s="128" t="s">
        <v>108</v>
      </c>
      <c r="C101" s="128" t="s">
        <v>50</v>
      </c>
      <c r="D101" s="128">
        <v>3506</v>
      </c>
      <c r="E101" s="128" t="s">
        <v>91</v>
      </c>
      <c r="F101" s="128" t="s">
        <v>54</v>
      </c>
      <c r="G101" s="128" t="s">
        <v>57</v>
      </c>
      <c r="H101" s="128" t="s">
        <v>51</v>
      </c>
      <c r="I101" s="129">
        <v>9.99</v>
      </c>
      <c r="J101" s="129">
        <v>208.41</v>
      </c>
    </row>
    <row r="102" spans="2:10">
      <c r="B102" s="128" t="s">
        <v>108</v>
      </c>
      <c r="C102" s="128" t="s">
        <v>50</v>
      </c>
      <c r="D102" s="128">
        <v>3505</v>
      </c>
      <c r="E102" s="128" t="s">
        <v>91</v>
      </c>
      <c r="F102" s="128" t="s">
        <v>54</v>
      </c>
      <c r="G102" s="128" t="s">
        <v>56</v>
      </c>
      <c r="H102" s="128" t="s">
        <v>51</v>
      </c>
      <c r="I102" s="129">
        <v>0</v>
      </c>
      <c r="J102" s="129">
        <v>208.41</v>
      </c>
    </row>
    <row r="103" spans="2:10">
      <c r="B103" s="128" t="s">
        <v>108</v>
      </c>
      <c r="C103" s="128" t="s">
        <v>50</v>
      </c>
      <c r="D103" s="128">
        <v>3505</v>
      </c>
      <c r="E103" s="128" t="s">
        <v>91</v>
      </c>
      <c r="F103" s="128" t="s">
        <v>54</v>
      </c>
      <c r="G103" s="128" t="s">
        <v>57</v>
      </c>
      <c r="H103" s="128" t="s">
        <v>51</v>
      </c>
      <c r="I103" s="129">
        <v>0</v>
      </c>
      <c r="J103" s="129">
        <v>208.41</v>
      </c>
    </row>
    <row r="104" spans="2:10">
      <c r="B104" s="128" t="s">
        <v>112</v>
      </c>
      <c r="C104" s="128" t="s">
        <v>50</v>
      </c>
      <c r="D104" s="128">
        <v>3509</v>
      </c>
      <c r="E104" s="128" t="s">
        <v>91</v>
      </c>
      <c r="F104" s="128" t="s">
        <v>54</v>
      </c>
      <c r="G104" s="128" t="s">
        <v>56</v>
      </c>
      <c r="H104" s="128" t="s">
        <v>51</v>
      </c>
      <c r="I104" s="129">
        <v>15.48</v>
      </c>
      <c r="J104" s="129">
        <v>223.89</v>
      </c>
    </row>
    <row r="105" spans="2:10">
      <c r="B105" s="128" t="s">
        <v>112</v>
      </c>
      <c r="C105" s="128" t="s">
        <v>50</v>
      </c>
      <c r="D105" s="128">
        <v>3509</v>
      </c>
      <c r="E105" s="128" t="s">
        <v>91</v>
      </c>
      <c r="F105" s="128" t="s">
        <v>54</v>
      </c>
      <c r="G105" s="128" t="s">
        <v>57</v>
      </c>
      <c r="H105" s="128" t="s">
        <v>51</v>
      </c>
      <c r="I105" s="129">
        <v>9.99</v>
      </c>
      <c r="J105" s="129">
        <v>233.88</v>
      </c>
    </row>
    <row r="106" spans="2:10">
      <c r="B106" s="128" t="s">
        <v>115</v>
      </c>
      <c r="C106" s="128" t="s">
        <v>50</v>
      </c>
      <c r="D106" s="128">
        <v>3510</v>
      </c>
      <c r="E106" s="128" t="s">
        <v>91</v>
      </c>
      <c r="F106" s="128" t="s">
        <v>54</v>
      </c>
      <c r="G106" s="128" t="s">
        <v>56</v>
      </c>
      <c r="H106" s="128" t="s">
        <v>51</v>
      </c>
      <c r="I106" s="129">
        <v>15.48</v>
      </c>
      <c r="J106" s="129">
        <v>249.36</v>
      </c>
    </row>
    <row r="107" spans="2:10">
      <c r="B107" s="128" t="s">
        <v>115</v>
      </c>
      <c r="C107" s="128" t="s">
        <v>50</v>
      </c>
      <c r="D107" s="128">
        <v>3510</v>
      </c>
      <c r="E107" s="128" t="s">
        <v>91</v>
      </c>
      <c r="F107" s="128" t="s">
        <v>54</v>
      </c>
      <c r="G107" s="128" t="s">
        <v>57</v>
      </c>
      <c r="H107" s="128" t="s">
        <v>51</v>
      </c>
      <c r="I107" s="129">
        <v>9.99</v>
      </c>
      <c r="J107" s="129">
        <v>259.35000000000002</v>
      </c>
    </row>
    <row r="108" spans="2:10">
      <c r="B108" s="128" t="s">
        <v>118</v>
      </c>
      <c r="C108" s="128" t="s">
        <v>50</v>
      </c>
      <c r="D108" s="128">
        <v>3514</v>
      </c>
      <c r="E108" s="128" t="s">
        <v>91</v>
      </c>
      <c r="F108" s="128" t="s">
        <v>54</v>
      </c>
      <c r="G108" s="128" t="s">
        <v>57</v>
      </c>
      <c r="H108" s="128" t="s">
        <v>51</v>
      </c>
      <c r="I108" s="129">
        <v>9.99</v>
      </c>
      <c r="J108" s="129">
        <v>269.33999999999997</v>
      </c>
    </row>
    <row r="109" spans="2:10">
      <c r="B109" s="128" t="s">
        <v>118</v>
      </c>
      <c r="C109" s="128" t="s">
        <v>50</v>
      </c>
      <c r="D109" s="128">
        <v>3514</v>
      </c>
      <c r="E109" s="128" t="s">
        <v>91</v>
      </c>
      <c r="F109" s="128" t="s">
        <v>54</v>
      </c>
      <c r="G109" s="128" t="s">
        <v>56</v>
      </c>
      <c r="H109" s="128" t="s">
        <v>51</v>
      </c>
      <c r="I109" s="129">
        <v>15.48</v>
      </c>
      <c r="J109" s="129">
        <v>284.82</v>
      </c>
    </row>
    <row r="110" spans="2:10">
      <c r="B110" s="128" t="s">
        <v>119</v>
      </c>
      <c r="C110" s="128" t="s">
        <v>50</v>
      </c>
      <c r="D110" s="128">
        <v>3515</v>
      </c>
      <c r="E110" s="128" t="s">
        <v>91</v>
      </c>
      <c r="F110" s="128" t="s">
        <v>54</v>
      </c>
      <c r="G110" s="128" t="s">
        <v>57</v>
      </c>
      <c r="H110" s="128" t="s">
        <v>51</v>
      </c>
      <c r="I110" s="129">
        <v>9.99</v>
      </c>
      <c r="J110" s="129">
        <v>294.81</v>
      </c>
    </row>
    <row r="111" spans="2:10">
      <c r="B111" s="128" t="s">
        <v>119</v>
      </c>
      <c r="C111" s="128" t="s">
        <v>50</v>
      </c>
      <c r="D111" s="128">
        <v>3515</v>
      </c>
      <c r="E111" s="128" t="s">
        <v>91</v>
      </c>
      <c r="F111" s="128" t="s">
        <v>54</v>
      </c>
      <c r="G111" s="128" t="s">
        <v>56</v>
      </c>
      <c r="H111" s="128" t="s">
        <v>51</v>
      </c>
      <c r="I111" s="129">
        <v>15.48</v>
      </c>
      <c r="J111" s="129">
        <v>310.29000000000002</v>
      </c>
    </row>
    <row r="112" spans="2:10">
      <c r="B112" s="128" t="s">
        <v>121</v>
      </c>
      <c r="C112" s="128" t="s">
        <v>50</v>
      </c>
      <c r="D112" s="128">
        <v>3518</v>
      </c>
      <c r="E112" s="128" t="s">
        <v>91</v>
      </c>
      <c r="F112" s="128" t="s">
        <v>54</v>
      </c>
      <c r="G112" s="128" t="s">
        <v>56</v>
      </c>
      <c r="H112" s="128" t="s">
        <v>51</v>
      </c>
      <c r="I112" s="129">
        <v>15.48</v>
      </c>
      <c r="J112" s="129">
        <v>325.77</v>
      </c>
    </row>
    <row r="113" spans="1:13">
      <c r="B113" s="128" t="s">
        <v>121</v>
      </c>
      <c r="C113" s="128" t="s">
        <v>50</v>
      </c>
      <c r="D113" s="128">
        <v>3518</v>
      </c>
      <c r="E113" s="128" t="s">
        <v>91</v>
      </c>
      <c r="F113" s="128" t="s">
        <v>54</v>
      </c>
      <c r="G113" s="128" t="s">
        <v>57</v>
      </c>
      <c r="H113" s="128" t="s">
        <v>51</v>
      </c>
      <c r="I113" s="129">
        <v>9.99</v>
      </c>
      <c r="J113" s="129">
        <v>335.76</v>
      </c>
    </row>
    <row r="114" spans="1:13">
      <c r="B114" s="128" t="s">
        <v>195</v>
      </c>
      <c r="C114" s="128" t="s">
        <v>50</v>
      </c>
      <c r="D114" s="128">
        <v>3519</v>
      </c>
      <c r="E114" s="128" t="s">
        <v>91</v>
      </c>
      <c r="F114" s="128" t="s">
        <v>54</v>
      </c>
      <c r="G114" s="128" t="s">
        <v>56</v>
      </c>
      <c r="H114" s="128" t="s">
        <v>51</v>
      </c>
      <c r="I114" s="129">
        <v>15.48</v>
      </c>
      <c r="J114" s="129">
        <v>351.24</v>
      </c>
    </row>
    <row r="115" spans="1:13">
      <c r="B115" s="128" t="s">
        <v>195</v>
      </c>
      <c r="C115" s="128" t="s">
        <v>50</v>
      </c>
      <c r="D115" s="128">
        <v>3519</v>
      </c>
      <c r="E115" s="128" t="s">
        <v>91</v>
      </c>
      <c r="F115" s="128" t="s">
        <v>54</v>
      </c>
      <c r="G115" s="128" t="s">
        <v>57</v>
      </c>
      <c r="H115" s="128" t="s">
        <v>51</v>
      </c>
      <c r="I115" s="129">
        <v>9.99</v>
      </c>
      <c r="J115" s="129">
        <v>361.23</v>
      </c>
    </row>
    <row r="116" spans="1:13">
      <c r="A116" s="127" t="s">
        <v>158</v>
      </c>
      <c r="I116" s="131">
        <v>361.23</v>
      </c>
      <c r="M116" s="122">
        <f>+I116</f>
        <v>361.23</v>
      </c>
    </row>
    <row r="117" spans="1:13">
      <c r="A117" s="127" t="s">
        <v>191</v>
      </c>
      <c r="L117" s="124" t="s">
        <v>199</v>
      </c>
      <c r="M117" s="123">
        <f>+(I114+I115)*3</f>
        <v>76.41</v>
      </c>
    </row>
    <row r="118" spans="1:13">
      <c r="B118" s="128" t="s">
        <v>195</v>
      </c>
      <c r="C118" s="128" t="s">
        <v>50</v>
      </c>
      <c r="D118" s="128">
        <v>3519</v>
      </c>
      <c r="E118" s="128" t="s">
        <v>91</v>
      </c>
      <c r="F118" s="128" t="s">
        <v>54</v>
      </c>
      <c r="G118" s="128" t="s">
        <v>82</v>
      </c>
      <c r="H118" s="128" t="s">
        <v>51</v>
      </c>
      <c r="I118" s="129">
        <v>147.44</v>
      </c>
      <c r="J118" s="129">
        <v>147.44</v>
      </c>
      <c r="L118" s="124" t="s">
        <v>193</v>
      </c>
      <c r="M118" s="146">
        <f>+M116+M117</f>
        <v>437.64</v>
      </c>
    </row>
    <row r="119" spans="1:13">
      <c r="A119" s="127" t="s">
        <v>192</v>
      </c>
      <c r="I119" s="133">
        <v>147.44</v>
      </c>
    </row>
    <row r="120" spans="1:13">
      <c r="A120" s="127" t="s">
        <v>159</v>
      </c>
    </row>
    <row r="121" spans="1:13">
      <c r="B121" s="128" t="s">
        <v>90</v>
      </c>
      <c r="C121" s="128" t="s">
        <v>50</v>
      </c>
      <c r="D121" s="128">
        <v>3498</v>
      </c>
      <c r="E121" s="128" t="s">
        <v>91</v>
      </c>
      <c r="F121" s="128" t="s">
        <v>83</v>
      </c>
      <c r="G121" s="128" t="s">
        <v>84</v>
      </c>
      <c r="H121" s="128" t="s">
        <v>51</v>
      </c>
      <c r="I121" s="129">
        <v>149.5</v>
      </c>
      <c r="J121" s="129">
        <v>149.5</v>
      </c>
      <c r="M121" s="122">
        <f>+I121</f>
        <v>149.5</v>
      </c>
    </row>
    <row r="122" spans="1:13">
      <c r="A122" s="127" t="s">
        <v>160</v>
      </c>
      <c r="I122" s="131">
        <v>149.5</v>
      </c>
      <c r="L122" s="124" t="s">
        <v>199</v>
      </c>
      <c r="M122" s="123">
        <f>+'10.1.21 - 12.31.21 GL'!I82</f>
        <v>343.8</v>
      </c>
    </row>
    <row r="123" spans="1:13">
      <c r="A123" s="127" t="s">
        <v>161</v>
      </c>
      <c r="I123" s="131">
        <v>658.17</v>
      </c>
      <c r="M123" s="146">
        <f>+M121+M122</f>
        <v>493.3</v>
      </c>
    </row>
    <row r="124" spans="1:13">
      <c r="A124" s="127" t="s">
        <v>162</v>
      </c>
    </row>
    <row r="125" spans="1:13">
      <c r="A125" s="127" t="s">
        <v>163</v>
      </c>
      <c r="L125" s="134" t="s">
        <v>200</v>
      </c>
      <c r="M125" s="146">
        <f>+M118+I119+M123</f>
        <v>1078.3799999999999</v>
      </c>
    </row>
    <row r="126" spans="1:13">
      <c r="B126" s="128" t="s">
        <v>125</v>
      </c>
      <c r="C126" s="128" t="s">
        <v>48</v>
      </c>
      <c r="D126" s="128">
        <v>72</v>
      </c>
      <c r="E126" s="128" t="s">
        <v>91</v>
      </c>
      <c r="F126" s="128"/>
      <c r="G126" s="128"/>
      <c r="H126" s="130" t="s">
        <v>49</v>
      </c>
      <c r="I126" s="129">
        <v>-70779.77</v>
      </c>
      <c r="J126" s="129">
        <v>-70779.77</v>
      </c>
    </row>
    <row r="127" spans="1:13">
      <c r="B127" s="128" t="s">
        <v>126</v>
      </c>
      <c r="C127" s="128" t="s">
        <v>48</v>
      </c>
      <c r="D127" s="128">
        <v>73</v>
      </c>
      <c r="E127" s="128" t="s">
        <v>91</v>
      </c>
      <c r="F127" s="128"/>
      <c r="G127" s="128"/>
      <c r="H127" s="130" t="s">
        <v>49</v>
      </c>
      <c r="I127" s="129">
        <v>-41512.379999999997</v>
      </c>
      <c r="J127" s="129">
        <v>-112292.15</v>
      </c>
    </row>
    <row r="128" spans="1:13">
      <c r="B128" s="128" t="s">
        <v>127</v>
      </c>
      <c r="C128" s="128" t="s">
        <v>48</v>
      </c>
      <c r="D128" s="128">
        <v>74</v>
      </c>
      <c r="E128" s="128" t="s">
        <v>91</v>
      </c>
      <c r="F128" s="128"/>
      <c r="G128" s="128"/>
      <c r="H128" s="130" t="s">
        <v>49</v>
      </c>
      <c r="I128" s="129">
        <v>18160.32</v>
      </c>
      <c r="J128" s="129">
        <v>-94131.83</v>
      </c>
    </row>
    <row r="129" spans="1:12">
      <c r="B129" s="128" t="s">
        <v>128</v>
      </c>
      <c r="C129" s="128" t="s">
        <v>48</v>
      </c>
      <c r="D129" s="128">
        <v>75</v>
      </c>
      <c r="E129" s="128" t="s">
        <v>91</v>
      </c>
      <c r="F129" s="128"/>
      <c r="G129" s="128"/>
      <c r="H129" s="130" t="s">
        <v>49</v>
      </c>
      <c r="I129" s="129">
        <v>-132243.67000000001</v>
      </c>
      <c r="J129" s="129">
        <v>-226375.5</v>
      </c>
    </row>
    <row r="130" spans="1:12">
      <c r="B130" s="128" t="s">
        <v>129</v>
      </c>
      <c r="C130" s="128" t="s">
        <v>48</v>
      </c>
      <c r="D130" s="128">
        <v>76</v>
      </c>
      <c r="E130" s="128" t="s">
        <v>91</v>
      </c>
      <c r="F130" s="128"/>
      <c r="G130" s="128"/>
      <c r="H130" s="130" t="s">
        <v>49</v>
      </c>
      <c r="I130" s="129">
        <v>5936.93</v>
      </c>
      <c r="J130" s="129">
        <v>-220438.57</v>
      </c>
    </row>
    <row r="131" spans="1:12">
      <c r="B131" s="128" t="s">
        <v>130</v>
      </c>
      <c r="C131" s="128" t="s">
        <v>48</v>
      </c>
      <c r="D131" s="128">
        <v>77</v>
      </c>
      <c r="E131" s="128" t="s">
        <v>91</v>
      </c>
      <c r="F131" s="128"/>
      <c r="G131" s="128"/>
      <c r="H131" s="130" t="s">
        <v>49</v>
      </c>
      <c r="I131" s="129">
        <v>-123688.66</v>
      </c>
      <c r="J131" s="129">
        <v>-344127.23</v>
      </c>
    </row>
    <row r="132" spans="1:12">
      <c r="B132" s="128" t="s">
        <v>131</v>
      </c>
      <c r="C132" s="128" t="s">
        <v>48</v>
      </c>
      <c r="D132" s="128">
        <v>80</v>
      </c>
      <c r="E132" s="128" t="s">
        <v>91</v>
      </c>
      <c r="F132" s="128"/>
      <c r="G132" s="128"/>
      <c r="H132" s="130" t="s">
        <v>49</v>
      </c>
      <c r="I132" s="129">
        <v>102520.84</v>
      </c>
      <c r="J132" s="129">
        <v>-241606.39</v>
      </c>
    </row>
    <row r="133" spans="1:12">
      <c r="B133" s="128" t="s">
        <v>132</v>
      </c>
      <c r="C133" s="128" t="s">
        <v>48</v>
      </c>
      <c r="D133" s="128">
        <v>81</v>
      </c>
      <c r="E133" s="128" t="s">
        <v>91</v>
      </c>
      <c r="F133" s="128"/>
      <c r="G133" s="128"/>
      <c r="H133" s="130" t="s">
        <v>49</v>
      </c>
      <c r="I133" s="129">
        <v>-60861.05</v>
      </c>
      <c r="J133" s="129">
        <v>-302467.44</v>
      </c>
    </row>
    <row r="134" spans="1:12">
      <c r="A134" s="127" t="s">
        <v>164</v>
      </c>
      <c r="I134" s="131">
        <v>-302467.44</v>
      </c>
    </row>
    <row r="135" spans="1:12">
      <c r="A135" s="127" t="s">
        <v>165</v>
      </c>
    </row>
    <row r="136" spans="1:12">
      <c r="B136" s="128" t="s">
        <v>125</v>
      </c>
      <c r="C136" s="128" t="s">
        <v>48</v>
      </c>
      <c r="D136" s="128">
        <v>72</v>
      </c>
      <c r="E136" s="128" t="s">
        <v>91</v>
      </c>
      <c r="F136" s="128"/>
      <c r="G136" s="128"/>
      <c r="H136" s="130" t="s">
        <v>49</v>
      </c>
      <c r="I136" s="129">
        <v>-1181.05</v>
      </c>
      <c r="J136" s="129">
        <v>-1181.05</v>
      </c>
    </row>
    <row r="137" spans="1:12">
      <c r="A137" s="127" t="s">
        <v>166</v>
      </c>
      <c r="I137" s="131">
        <v>-1181.05</v>
      </c>
      <c r="L137" s="148"/>
    </row>
    <row r="138" spans="1:12">
      <c r="A138" s="127" t="s">
        <v>167</v>
      </c>
    </row>
    <row r="139" spans="1:12">
      <c r="B139" s="128" t="s">
        <v>125</v>
      </c>
      <c r="C139" s="128" t="s">
        <v>48</v>
      </c>
      <c r="D139" s="128">
        <v>72</v>
      </c>
      <c r="E139" s="128" t="s">
        <v>91</v>
      </c>
      <c r="F139" s="128"/>
      <c r="G139" s="128"/>
      <c r="H139" s="130" t="s">
        <v>49</v>
      </c>
      <c r="I139" s="129">
        <v>0.18</v>
      </c>
      <c r="J139" s="129">
        <v>0.18</v>
      </c>
    </row>
    <row r="140" spans="1:12">
      <c r="B140" s="128" t="s">
        <v>126</v>
      </c>
      <c r="C140" s="128" t="s">
        <v>48</v>
      </c>
      <c r="D140" s="128">
        <v>73</v>
      </c>
      <c r="E140" s="128" t="s">
        <v>91</v>
      </c>
      <c r="F140" s="128"/>
      <c r="G140" s="128"/>
      <c r="H140" s="130" t="s">
        <v>49</v>
      </c>
      <c r="I140" s="129">
        <v>0.04</v>
      </c>
      <c r="J140" s="129">
        <v>0.22</v>
      </c>
    </row>
    <row r="141" spans="1:12">
      <c r="B141" s="128" t="s">
        <v>127</v>
      </c>
      <c r="C141" s="128" t="s">
        <v>48</v>
      </c>
      <c r="D141" s="128">
        <v>74</v>
      </c>
      <c r="E141" s="128" t="s">
        <v>91</v>
      </c>
      <c r="F141" s="128"/>
      <c r="G141" s="128"/>
      <c r="H141" s="130" t="s">
        <v>49</v>
      </c>
      <c r="I141" s="129">
        <v>0.06</v>
      </c>
      <c r="J141" s="129">
        <v>0.28000000000000003</v>
      </c>
    </row>
    <row r="142" spans="1:12">
      <c r="B142" s="128" t="s">
        <v>128</v>
      </c>
      <c r="C142" s="128" t="s">
        <v>48</v>
      </c>
      <c r="D142" s="128">
        <v>75</v>
      </c>
      <c r="E142" s="128" t="s">
        <v>91</v>
      </c>
      <c r="F142" s="128"/>
      <c r="G142" s="128"/>
      <c r="H142" s="130" t="s">
        <v>49</v>
      </c>
      <c r="I142" s="129">
        <v>0.02</v>
      </c>
      <c r="J142" s="129">
        <v>0.3</v>
      </c>
    </row>
    <row r="143" spans="1:12">
      <c r="B143" s="128" t="s">
        <v>129</v>
      </c>
      <c r="C143" s="128" t="s">
        <v>48</v>
      </c>
      <c r="D143" s="128">
        <v>76</v>
      </c>
      <c r="E143" s="128" t="s">
        <v>91</v>
      </c>
      <c r="F143" s="128"/>
      <c r="G143" s="128"/>
      <c r="H143" s="130" t="s">
        <v>49</v>
      </c>
      <c r="I143" s="129">
        <v>0.04</v>
      </c>
      <c r="J143" s="129">
        <v>0.34</v>
      </c>
    </row>
    <row r="144" spans="1:12">
      <c r="B144" s="128" t="s">
        <v>130</v>
      </c>
      <c r="C144" s="128" t="s">
        <v>48</v>
      </c>
      <c r="D144" s="128">
        <v>77</v>
      </c>
      <c r="E144" s="128" t="s">
        <v>91</v>
      </c>
      <c r="F144" s="128"/>
      <c r="G144" s="128"/>
      <c r="H144" s="130" t="s">
        <v>49</v>
      </c>
      <c r="I144" s="129">
        <v>0.06</v>
      </c>
      <c r="J144" s="129">
        <v>0.4</v>
      </c>
    </row>
    <row r="145" spans="1:13">
      <c r="B145" s="128" t="s">
        <v>131</v>
      </c>
      <c r="C145" s="128" t="s">
        <v>48</v>
      </c>
      <c r="D145" s="128">
        <v>80</v>
      </c>
      <c r="E145" s="128" t="s">
        <v>91</v>
      </c>
      <c r="F145" s="128"/>
      <c r="G145" s="128"/>
      <c r="H145" s="130" t="s">
        <v>49</v>
      </c>
      <c r="I145" s="129">
        <v>1.1299999999999999</v>
      </c>
      <c r="J145" s="129">
        <v>1.53</v>
      </c>
    </row>
    <row r="146" spans="1:13">
      <c r="B146" s="128" t="s">
        <v>132</v>
      </c>
      <c r="C146" s="128" t="s">
        <v>48</v>
      </c>
      <c r="D146" s="128">
        <v>81</v>
      </c>
      <c r="E146" s="128" t="s">
        <v>91</v>
      </c>
      <c r="F146" s="128"/>
      <c r="G146" s="128"/>
      <c r="H146" s="130" t="s">
        <v>49</v>
      </c>
      <c r="I146" s="129">
        <v>0.71</v>
      </c>
      <c r="J146" s="129">
        <v>2.2400000000000002</v>
      </c>
    </row>
    <row r="147" spans="1:13">
      <c r="A147" s="127" t="s">
        <v>168</v>
      </c>
      <c r="I147" s="131">
        <v>2.2400000000000002</v>
      </c>
      <c r="L147" s="148" t="s">
        <v>70</v>
      </c>
      <c r="M147" s="122">
        <f>+(I147/8)*12</f>
        <v>3.3600000000000003</v>
      </c>
    </row>
    <row r="148" spans="1:13">
      <c r="A148" s="127" t="s">
        <v>169</v>
      </c>
    </row>
    <row r="149" spans="1:13">
      <c r="B149" s="128" t="s">
        <v>125</v>
      </c>
      <c r="C149" s="128" t="s">
        <v>48</v>
      </c>
      <c r="D149" s="128">
        <v>72</v>
      </c>
      <c r="E149" s="128" t="s">
        <v>91</v>
      </c>
      <c r="F149" s="128"/>
      <c r="G149" s="128"/>
      <c r="H149" s="130" t="s">
        <v>49</v>
      </c>
      <c r="I149" s="129">
        <v>182.94</v>
      </c>
      <c r="J149" s="129">
        <v>182.94</v>
      </c>
    </row>
    <row r="150" spans="1:13">
      <c r="B150" s="128" t="s">
        <v>126</v>
      </c>
      <c r="C150" s="128" t="s">
        <v>48</v>
      </c>
      <c r="D150" s="128">
        <v>73</v>
      </c>
      <c r="E150" s="128" t="s">
        <v>91</v>
      </c>
      <c r="F150" s="128"/>
      <c r="G150" s="128"/>
      <c r="H150" s="130" t="s">
        <v>49</v>
      </c>
      <c r="I150" s="129">
        <v>1643.87</v>
      </c>
      <c r="J150" s="129">
        <v>1826.81</v>
      </c>
    </row>
    <row r="151" spans="1:13">
      <c r="B151" s="128" t="s">
        <v>127</v>
      </c>
      <c r="C151" s="128" t="s">
        <v>48</v>
      </c>
      <c r="D151" s="128">
        <v>74</v>
      </c>
      <c r="E151" s="128" t="s">
        <v>91</v>
      </c>
      <c r="F151" s="128"/>
      <c r="G151" s="128"/>
      <c r="H151" s="130" t="s">
        <v>49</v>
      </c>
      <c r="I151" s="129">
        <v>4687.2299999999996</v>
      </c>
      <c r="J151" s="129">
        <v>6514.04</v>
      </c>
    </row>
    <row r="152" spans="1:13">
      <c r="B152" s="128" t="s">
        <v>128</v>
      </c>
      <c r="C152" s="128" t="s">
        <v>48</v>
      </c>
      <c r="D152" s="128">
        <v>75</v>
      </c>
      <c r="E152" s="128" t="s">
        <v>91</v>
      </c>
      <c r="F152" s="128"/>
      <c r="G152" s="128"/>
      <c r="H152" s="130" t="s">
        <v>49</v>
      </c>
      <c r="I152" s="129">
        <v>1440.8</v>
      </c>
      <c r="J152" s="129">
        <v>7954.84</v>
      </c>
    </row>
    <row r="153" spans="1:13">
      <c r="B153" s="128" t="s">
        <v>129</v>
      </c>
      <c r="C153" s="128" t="s">
        <v>48</v>
      </c>
      <c r="D153" s="128">
        <v>76</v>
      </c>
      <c r="E153" s="128" t="s">
        <v>91</v>
      </c>
      <c r="F153" s="128"/>
      <c r="G153" s="128"/>
      <c r="H153" s="130" t="s">
        <v>49</v>
      </c>
      <c r="I153" s="129">
        <v>1973.46</v>
      </c>
      <c r="J153" s="129">
        <v>9928.2999999999993</v>
      </c>
    </row>
    <row r="154" spans="1:13">
      <c r="B154" s="128" t="s">
        <v>130</v>
      </c>
      <c r="C154" s="128" t="s">
        <v>48</v>
      </c>
      <c r="D154" s="128">
        <v>77</v>
      </c>
      <c r="E154" s="128" t="s">
        <v>91</v>
      </c>
      <c r="F154" s="128"/>
      <c r="G154" s="128"/>
      <c r="H154" s="130" t="s">
        <v>49</v>
      </c>
      <c r="I154" s="129">
        <v>9388.74</v>
      </c>
      <c r="J154" s="129">
        <v>19317.04</v>
      </c>
    </row>
    <row r="155" spans="1:13">
      <c r="B155" s="128" t="s">
        <v>131</v>
      </c>
      <c r="C155" s="128" t="s">
        <v>48</v>
      </c>
      <c r="D155" s="128">
        <v>80</v>
      </c>
      <c r="E155" s="128" t="s">
        <v>91</v>
      </c>
      <c r="F155" s="128"/>
      <c r="G155" s="128"/>
      <c r="H155" s="130" t="s">
        <v>49</v>
      </c>
      <c r="I155" s="129">
        <v>1559.45</v>
      </c>
      <c r="J155" s="129">
        <v>20876.490000000002</v>
      </c>
    </row>
    <row r="156" spans="1:13">
      <c r="B156" s="128" t="s">
        <v>132</v>
      </c>
      <c r="C156" s="128" t="s">
        <v>48</v>
      </c>
      <c r="D156" s="128">
        <v>81</v>
      </c>
      <c r="E156" s="128" t="s">
        <v>91</v>
      </c>
      <c r="F156" s="128"/>
      <c r="G156" s="128"/>
      <c r="H156" s="130" t="s">
        <v>49</v>
      </c>
      <c r="I156" s="129">
        <v>2425.29</v>
      </c>
      <c r="J156" s="129">
        <v>23301.78</v>
      </c>
    </row>
    <row r="157" spans="1:13">
      <c r="A157" s="127" t="s">
        <v>170</v>
      </c>
      <c r="I157" s="131">
        <v>23301.78</v>
      </c>
      <c r="L157" s="148" t="s">
        <v>70</v>
      </c>
      <c r="M157" s="122">
        <f>+(I157/8)*12</f>
        <v>34952.67</v>
      </c>
    </row>
    <row r="158" spans="1:13">
      <c r="A158" s="127" t="s">
        <v>171</v>
      </c>
    </row>
    <row r="159" spans="1:13">
      <c r="B159" s="128" t="s">
        <v>125</v>
      </c>
      <c r="C159" s="128" t="s">
        <v>48</v>
      </c>
      <c r="D159" s="128">
        <v>72</v>
      </c>
      <c r="E159" s="128" t="s">
        <v>91</v>
      </c>
      <c r="F159" s="128"/>
      <c r="G159" s="128"/>
      <c r="H159" s="130" t="s">
        <v>49</v>
      </c>
      <c r="I159" s="129">
        <v>-4565.7299999999996</v>
      </c>
      <c r="J159" s="129">
        <v>-4565.7299999999996</v>
      </c>
    </row>
    <row r="160" spans="1:13">
      <c r="B160" s="128" t="s">
        <v>128</v>
      </c>
      <c r="C160" s="128" t="s">
        <v>48</v>
      </c>
      <c r="D160" s="128">
        <v>75</v>
      </c>
      <c r="E160" s="128" t="s">
        <v>91</v>
      </c>
      <c r="F160" s="128"/>
      <c r="G160" s="128"/>
      <c r="H160" s="130" t="s">
        <v>49</v>
      </c>
      <c r="I160" s="129">
        <v>-4476.07</v>
      </c>
      <c r="J160" s="129">
        <v>-9041.7999999999993</v>
      </c>
    </row>
    <row r="161" spans="1:13">
      <c r="B161" s="128" t="s">
        <v>131</v>
      </c>
      <c r="C161" s="128" t="s">
        <v>48</v>
      </c>
      <c r="D161" s="128">
        <v>80</v>
      </c>
      <c r="E161" s="128" t="s">
        <v>91</v>
      </c>
      <c r="F161" s="128"/>
      <c r="G161" s="128"/>
      <c r="H161" s="130" t="s">
        <v>49</v>
      </c>
      <c r="I161" s="129">
        <v>-4346.57</v>
      </c>
      <c r="J161" s="129">
        <v>-13388.37</v>
      </c>
    </row>
    <row r="162" spans="1:13">
      <c r="A162" s="127" t="s">
        <v>172</v>
      </c>
      <c r="I162" s="131">
        <v>-13388.37</v>
      </c>
      <c r="L162" s="148" t="s">
        <v>70</v>
      </c>
      <c r="M162" s="122">
        <f>+(I162/8)*12</f>
        <v>-20082.555</v>
      </c>
    </row>
    <row r="163" spans="1:13">
      <c r="A163" s="127" t="s">
        <v>173</v>
      </c>
      <c r="I163" s="131">
        <v>-293732.84000000003</v>
      </c>
    </row>
    <row r="164" spans="1:13">
      <c r="A164" s="127" t="s">
        <v>174</v>
      </c>
    </row>
    <row r="165" spans="1:13">
      <c r="B165" s="128" t="s">
        <v>134</v>
      </c>
      <c r="C165" s="128" t="s">
        <v>113</v>
      </c>
      <c r="D165" s="128">
        <v>3518</v>
      </c>
      <c r="E165" s="128" t="s">
        <v>91</v>
      </c>
      <c r="F165" s="128" t="s">
        <v>71</v>
      </c>
      <c r="G165" s="128"/>
      <c r="H165" s="128" t="s">
        <v>68</v>
      </c>
      <c r="I165" s="129">
        <v>0</v>
      </c>
      <c r="J165" s="129">
        <v>0</v>
      </c>
    </row>
    <row r="166" spans="1:13">
      <c r="A166" s="127" t="s">
        <v>175</v>
      </c>
      <c r="I166" s="131">
        <v>0</v>
      </c>
    </row>
    <row r="169" spans="1:13">
      <c r="A169" s="180" t="s">
        <v>198</v>
      </c>
      <c r="B169" s="178"/>
      <c r="C169" s="178"/>
      <c r="D169" s="178"/>
      <c r="E169" s="178"/>
      <c r="F169" s="178"/>
      <c r="G169" s="178"/>
      <c r="H169" s="178"/>
      <c r="I169" s="178"/>
      <c r="J169" s="178"/>
    </row>
  </sheetData>
  <mergeCells count="4">
    <mergeCell ref="A1:J1"/>
    <mergeCell ref="A2:J2"/>
    <mergeCell ref="A3:J3"/>
    <mergeCell ref="A169:J169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DF83E0-DA38-4ED4-AF50-83F3D2E4550B}">
  <sheetPr>
    <tabColor rgb="FFFF0000"/>
  </sheetPr>
  <dimension ref="A1:J115"/>
  <sheetViews>
    <sheetView workbookViewId="0">
      <selection activeCell="I53" sqref="I53"/>
    </sheetView>
  </sheetViews>
  <sheetFormatPr defaultColWidth="9.109375" defaultRowHeight="13.2"/>
  <cols>
    <col min="1" max="1" width="44.6640625" style="124" customWidth="1"/>
    <col min="2" max="2" width="18" style="124" customWidth="1"/>
    <col min="3" max="3" width="12" style="124" customWidth="1"/>
    <col min="4" max="5" width="7.6640625" style="124" customWidth="1"/>
    <col min="6" max="6" width="37" style="124" customWidth="1"/>
    <col min="7" max="7" width="28.44140625" style="124" customWidth="1"/>
    <col min="8" max="8" width="39.5546875" style="124" customWidth="1"/>
    <col min="9" max="9" width="11.109375" style="124" customWidth="1"/>
    <col min="10" max="10" width="10.5546875" style="124" customWidth="1"/>
    <col min="11" max="16384" width="9.109375" style="124"/>
  </cols>
  <sheetData>
    <row r="1" spans="1:10" ht="17.399999999999999">
      <c r="A1" s="177" t="s">
        <v>39</v>
      </c>
      <c r="B1" s="178"/>
      <c r="C1" s="178"/>
      <c r="D1" s="178"/>
      <c r="E1" s="178"/>
      <c r="F1" s="178"/>
      <c r="G1" s="178"/>
      <c r="H1" s="178"/>
      <c r="I1" s="178"/>
      <c r="J1" s="178"/>
    </row>
    <row r="2" spans="1:10" ht="17.399999999999999">
      <c r="A2" s="177" t="s">
        <v>87</v>
      </c>
      <c r="B2" s="178"/>
      <c r="C2" s="178"/>
      <c r="D2" s="178"/>
      <c r="E2" s="178"/>
      <c r="F2" s="178"/>
      <c r="G2" s="178"/>
      <c r="H2" s="178"/>
      <c r="I2" s="178"/>
      <c r="J2" s="178"/>
    </row>
    <row r="3" spans="1:10">
      <c r="A3" s="179" t="s">
        <v>196</v>
      </c>
      <c r="B3" s="178"/>
      <c r="C3" s="178"/>
      <c r="D3" s="178"/>
      <c r="E3" s="178"/>
      <c r="F3" s="178"/>
      <c r="G3" s="178"/>
      <c r="H3" s="178"/>
      <c r="I3" s="178"/>
      <c r="J3" s="178"/>
    </row>
    <row r="5" spans="1:10" ht="24">
      <c r="B5" s="126" t="s">
        <v>40</v>
      </c>
      <c r="C5" s="126" t="s">
        <v>41</v>
      </c>
      <c r="D5" s="126" t="s">
        <v>42</v>
      </c>
      <c r="E5" s="126" t="s">
        <v>88</v>
      </c>
      <c r="F5" s="126" t="s">
        <v>43</v>
      </c>
      <c r="G5" s="126" t="s">
        <v>44</v>
      </c>
      <c r="H5" s="126" t="s">
        <v>45</v>
      </c>
      <c r="I5" s="126" t="s">
        <v>46</v>
      </c>
      <c r="J5" s="126" t="s">
        <v>47</v>
      </c>
    </row>
    <row r="6" spans="1:10">
      <c r="A6" s="127" t="s">
        <v>51</v>
      </c>
    </row>
    <row r="7" spans="1:10">
      <c r="B7" s="128" t="s">
        <v>89</v>
      </c>
      <c r="J7" s="129">
        <v>1256636.72</v>
      </c>
    </row>
    <row r="8" spans="1:10">
      <c r="B8" s="128" t="s">
        <v>77</v>
      </c>
      <c r="C8" s="128" t="s">
        <v>50</v>
      </c>
      <c r="D8" s="128">
        <v>3489</v>
      </c>
      <c r="E8" s="128" t="s">
        <v>91</v>
      </c>
      <c r="F8" s="128" t="s">
        <v>83</v>
      </c>
      <c r="G8" s="128"/>
      <c r="H8" s="128" t="s">
        <v>93</v>
      </c>
      <c r="I8" s="129">
        <v>-29.9</v>
      </c>
      <c r="J8" s="129">
        <v>1256606.82</v>
      </c>
    </row>
    <row r="9" spans="1:10">
      <c r="B9" s="128" t="s">
        <v>77</v>
      </c>
      <c r="C9" s="128" t="s">
        <v>50</v>
      </c>
      <c r="D9" s="128">
        <v>3487</v>
      </c>
      <c r="E9" s="128" t="s">
        <v>91</v>
      </c>
      <c r="F9" s="128" t="s">
        <v>54</v>
      </c>
      <c r="G9" s="128" t="s">
        <v>177</v>
      </c>
      <c r="H9" s="130" t="s">
        <v>49</v>
      </c>
      <c r="I9" s="129">
        <v>-2724.77</v>
      </c>
      <c r="J9" s="129">
        <v>1253882.05</v>
      </c>
    </row>
    <row r="10" spans="1:10">
      <c r="B10" s="128" t="s">
        <v>77</v>
      </c>
      <c r="C10" s="128" t="s">
        <v>50</v>
      </c>
      <c r="D10" s="128">
        <v>3488</v>
      </c>
      <c r="E10" s="128" t="s">
        <v>91</v>
      </c>
      <c r="F10" s="128" t="s">
        <v>52</v>
      </c>
      <c r="G10" s="128" t="s">
        <v>177</v>
      </c>
      <c r="H10" s="128" t="s">
        <v>105</v>
      </c>
      <c r="I10" s="129">
        <v>-370.5</v>
      </c>
      <c r="J10" s="129">
        <v>1253511.55</v>
      </c>
    </row>
    <row r="11" spans="1:10">
      <c r="B11" s="128" t="s">
        <v>77</v>
      </c>
      <c r="C11" s="128" t="s">
        <v>50</v>
      </c>
      <c r="D11" s="128">
        <v>3490</v>
      </c>
      <c r="E11" s="128" t="s">
        <v>91</v>
      </c>
      <c r="F11" s="128" t="s">
        <v>178</v>
      </c>
      <c r="G11" s="128" t="s">
        <v>179</v>
      </c>
      <c r="H11" s="128" t="s">
        <v>95</v>
      </c>
      <c r="I11" s="129">
        <v>0</v>
      </c>
      <c r="J11" s="129">
        <v>1253511.55</v>
      </c>
    </row>
    <row r="12" spans="1:10">
      <c r="B12" s="128" t="s">
        <v>78</v>
      </c>
      <c r="C12" s="128" t="s">
        <v>50</v>
      </c>
      <c r="D12" s="128">
        <v>3491</v>
      </c>
      <c r="E12" s="128" t="s">
        <v>91</v>
      </c>
      <c r="F12" s="128" t="s">
        <v>54</v>
      </c>
      <c r="G12" s="128" t="s">
        <v>177</v>
      </c>
      <c r="H12" s="130" t="s">
        <v>49</v>
      </c>
      <c r="I12" s="129">
        <v>-2974.98</v>
      </c>
      <c r="J12" s="129">
        <v>1250536.57</v>
      </c>
    </row>
    <row r="13" spans="1:10">
      <c r="B13" s="128" t="s">
        <v>78</v>
      </c>
      <c r="C13" s="128" t="s">
        <v>50</v>
      </c>
      <c r="D13" s="128">
        <v>3492</v>
      </c>
      <c r="E13" s="128" t="s">
        <v>91</v>
      </c>
      <c r="F13" s="128" t="s">
        <v>53</v>
      </c>
      <c r="G13" s="128"/>
      <c r="H13" s="128" t="s">
        <v>96</v>
      </c>
      <c r="I13" s="129">
        <v>-1484.85</v>
      </c>
      <c r="J13" s="129">
        <v>1249051.72</v>
      </c>
    </row>
    <row r="14" spans="1:10">
      <c r="B14" s="128" t="s">
        <v>78</v>
      </c>
      <c r="C14" s="128" t="s">
        <v>50</v>
      </c>
      <c r="D14" s="128">
        <v>3493</v>
      </c>
      <c r="E14" s="128" t="s">
        <v>91</v>
      </c>
      <c r="F14" s="128" t="s">
        <v>52</v>
      </c>
      <c r="G14" s="128" t="s">
        <v>180</v>
      </c>
      <c r="H14" s="128" t="s">
        <v>105</v>
      </c>
      <c r="I14" s="129">
        <v>-1339.5</v>
      </c>
      <c r="J14" s="129">
        <v>1247712.22</v>
      </c>
    </row>
    <row r="15" spans="1:10">
      <c r="B15" s="128" t="s">
        <v>78</v>
      </c>
      <c r="C15" s="128" t="s">
        <v>50</v>
      </c>
      <c r="D15" s="128">
        <v>3494</v>
      </c>
      <c r="E15" s="128" t="s">
        <v>91</v>
      </c>
      <c r="F15" s="128" t="s">
        <v>83</v>
      </c>
      <c r="G15" s="128"/>
      <c r="H15" s="128" t="s">
        <v>93</v>
      </c>
      <c r="I15" s="129">
        <v>-29.9</v>
      </c>
      <c r="J15" s="129">
        <v>1247682.32</v>
      </c>
    </row>
    <row r="16" spans="1:10">
      <c r="B16" s="128" t="s">
        <v>181</v>
      </c>
      <c r="C16" s="128" t="s">
        <v>50</v>
      </c>
      <c r="D16" s="128">
        <v>3495</v>
      </c>
      <c r="E16" s="128" t="s">
        <v>91</v>
      </c>
      <c r="F16" s="128" t="s">
        <v>54</v>
      </c>
      <c r="G16" s="128" t="s">
        <v>182</v>
      </c>
      <c r="H16" s="130" t="s">
        <v>49</v>
      </c>
      <c r="I16" s="129">
        <v>-2691.47</v>
      </c>
      <c r="J16" s="129">
        <v>1244990.8500000001</v>
      </c>
    </row>
    <row r="17" spans="1:10">
      <c r="A17" s="127" t="s">
        <v>123</v>
      </c>
      <c r="I17" s="131">
        <v>-11645.87</v>
      </c>
    </row>
    <row r="18" spans="1:10">
      <c r="A18" s="127" t="s">
        <v>100</v>
      </c>
    </row>
    <row r="19" spans="1:10">
      <c r="B19" s="128" t="s">
        <v>89</v>
      </c>
      <c r="J19" s="129">
        <v>2145205.62</v>
      </c>
    </row>
    <row r="20" spans="1:10">
      <c r="B20" s="128" t="s">
        <v>85</v>
      </c>
      <c r="C20" s="128" t="s">
        <v>48</v>
      </c>
      <c r="D20" s="128">
        <v>69</v>
      </c>
      <c r="E20" s="128" t="s">
        <v>91</v>
      </c>
      <c r="F20" s="128"/>
      <c r="G20" s="128"/>
      <c r="H20" s="130" t="s">
        <v>49</v>
      </c>
      <c r="I20" s="129">
        <v>70536.38</v>
      </c>
      <c r="J20" s="129">
        <v>2215742</v>
      </c>
    </row>
    <row r="21" spans="1:10">
      <c r="B21" s="128" t="s">
        <v>183</v>
      </c>
      <c r="C21" s="128" t="s">
        <v>48</v>
      </c>
      <c r="D21" s="128">
        <v>70</v>
      </c>
      <c r="E21" s="128" t="s">
        <v>91</v>
      </c>
      <c r="F21" s="128"/>
      <c r="G21" s="128"/>
      <c r="H21" s="130" t="s">
        <v>49</v>
      </c>
      <c r="I21" s="129">
        <v>-25024.47</v>
      </c>
      <c r="J21" s="129">
        <v>2190717.5299999998</v>
      </c>
    </row>
    <row r="22" spans="1:10">
      <c r="B22" s="128" t="s">
        <v>184</v>
      </c>
      <c r="C22" s="128" t="s">
        <v>48</v>
      </c>
      <c r="D22" s="128">
        <v>71</v>
      </c>
      <c r="E22" s="128" t="s">
        <v>91</v>
      </c>
      <c r="F22" s="128"/>
      <c r="G22" s="128"/>
      <c r="H22" s="130" t="s">
        <v>49</v>
      </c>
      <c r="I22" s="129">
        <v>48753.54</v>
      </c>
      <c r="J22" s="129">
        <v>2239471.0699999998</v>
      </c>
    </row>
    <row r="23" spans="1:10">
      <c r="A23" s="127" t="s">
        <v>133</v>
      </c>
      <c r="I23" s="131">
        <v>94265.45</v>
      </c>
    </row>
    <row r="24" spans="1:10">
      <c r="A24" s="127" t="s">
        <v>68</v>
      </c>
    </row>
    <row r="25" spans="1:10">
      <c r="B25" s="128" t="s">
        <v>89</v>
      </c>
      <c r="J25" s="129">
        <v>200000</v>
      </c>
    </row>
    <row r="26" spans="1:10">
      <c r="B26" s="128" t="s">
        <v>185</v>
      </c>
      <c r="C26" s="128" t="s">
        <v>67</v>
      </c>
      <c r="D26" s="128"/>
      <c r="E26" s="128" t="s">
        <v>91</v>
      </c>
      <c r="F26" s="128" t="s">
        <v>71</v>
      </c>
      <c r="G26" s="128"/>
      <c r="H26" s="128" t="s">
        <v>73</v>
      </c>
      <c r="I26" s="129">
        <v>50000</v>
      </c>
      <c r="J26" s="129">
        <v>250000</v>
      </c>
    </row>
    <row r="27" spans="1:10">
      <c r="B27" s="128" t="s">
        <v>185</v>
      </c>
      <c r="C27" s="128" t="s">
        <v>67</v>
      </c>
      <c r="D27" s="128"/>
      <c r="E27" s="128" t="s">
        <v>91</v>
      </c>
      <c r="F27" s="128" t="s">
        <v>186</v>
      </c>
      <c r="G27" s="128"/>
      <c r="H27" s="128" t="s">
        <v>73</v>
      </c>
      <c r="I27" s="129">
        <v>300000</v>
      </c>
      <c r="J27" s="129">
        <v>550000</v>
      </c>
    </row>
    <row r="28" spans="1:10">
      <c r="A28" s="127" t="s">
        <v>135</v>
      </c>
      <c r="I28" s="131">
        <v>350000</v>
      </c>
    </row>
    <row r="29" spans="1:10">
      <c r="A29" s="127" t="s">
        <v>136</v>
      </c>
    </row>
    <row r="30" spans="1:10">
      <c r="B30" s="128" t="s">
        <v>89</v>
      </c>
      <c r="J30" s="129">
        <v>2603416.7400000002</v>
      </c>
    </row>
    <row r="31" spans="1:10">
      <c r="A31" s="127" t="s">
        <v>137</v>
      </c>
      <c r="I31" s="131"/>
    </row>
    <row r="32" spans="1:10">
      <c r="A32" s="127" t="s">
        <v>176</v>
      </c>
    </row>
    <row r="33" spans="1:10">
      <c r="B33" s="128" t="s">
        <v>89</v>
      </c>
      <c r="J33" s="129">
        <v>493224.26</v>
      </c>
    </row>
    <row r="34" spans="1:10">
      <c r="A34" s="127" t="s">
        <v>187</v>
      </c>
      <c r="I34" s="131"/>
    </row>
    <row r="35" spans="1:10">
      <c r="A35" s="127" t="s">
        <v>73</v>
      </c>
    </row>
    <row r="36" spans="1:10">
      <c r="B36" s="128" t="s">
        <v>185</v>
      </c>
      <c r="C36" s="128" t="s">
        <v>67</v>
      </c>
      <c r="D36" s="128"/>
      <c r="E36" s="128" t="s">
        <v>91</v>
      </c>
      <c r="F36" s="128" t="s">
        <v>71</v>
      </c>
      <c r="G36" s="128" t="s">
        <v>188</v>
      </c>
      <c r="H36" s="128" t="s">
        <v>68</v>
      </c>
      <c r="I36" s="129">
        <v>50000</v>
      </c>
      <c r="J36" s="129">
        <v>50000</v>
      </c>
    </row>
    <row r="37" spans="1:10">
      <c r="B37" s="128" t="s">
        <v>185</v>
      </c>
      <c r="C37" s="128" t="s">
        <v>67</v>
      </c>
      <c r="D37" s="128"/>
      <c r="E37" s="128" t="s">
        <v>91</v>
      </c>
      <c r="F37" s="128" t="s">
        <v>186</v>
      </c>
      <c r="G37" s="128"/>
      <c r="H37" s="128" t="s">
        <v>68</v>
      </c>
      <c r="I37" s="129">
        <v>300000</v>
      </c>
      <c r="J37" s="129">
        <v>350000</v>
      </c>
    </row>
    <row r="38" spans="1:10">
      <c r="A38" s="127" t="s">
        <v>140</v>
      </c>
      <c r="I38" s="131">
        <v>350000</v>
      </c>
    </row>
    <row r="39" spans="1:10">
      <c r="A39" s="127" t="s">
        <v>141</v>
      </c>
    </row>
    <row r="40" spans="1:10">
      <c r="A40" s="127" t="s">
        <v>142</v>
      </c>
    </row>
    <row r="41" spans="1:10">
      <c r="B41" s="128" t="s">
        <v>189</v>
      </c>
      <c r="J41" s="129">
        <v>3135.5</v>
      </c>
    </row>
    <row r="42" spans="1:10">
      <c r="B42" s="128" t="s">
        <v>77</v>
      </c>
      <c r="C42" s="128" t="s">
        <v>50</v>
      </c>
      <c r="D42" s="128">
        <v>3488</v>
      </c>
      <c r="E42" s="128" t="s">
        <v>91</v>
      </c>
      <c r="F42" s="128" t="s">
        <v>52</v>
      </c>
      <c r="G42" s="128"/>
      <c r="H42" s="128" t="s">
        <v>51</v>
      </c>
      <c r="I42" s="129">
        <v>370.5</v>
      </c>
      <c r="J42" s="129">
        <v>3506</v>
      </c>
    </row>
    <row r="43" spans="1:10">
      <c r="B43" s="128" t="s">
        <v>78</v>
      </c>
      <c r="C43" s="128" t="s">
        <v>50</v>
      </c>
      <c r="D43" s="128">
        <v>3493</v>
      </c>
      <c r="E43" s="128" t="s">
        <v>91</v>
      </c>
      <c r="F43" s="128" t="s">
        <v>52</v>
      </c>
      <c r="G43" s="128"/>
      <c r="H43" s="128" t="s">
        <v>51</v>
      </c>
      <c r="I43" s="129">
        <v>1339.5</v>
      </c>
      <c r="J43" s="129">
        <v>4845.5</v>
      </c>
    </row>
    <row r="44" spans="1:10">
      <c r="A44" s="127" t="s">
        <v>143</v>
      </c>
      <c r="I44" s="131">
        <v>1710</v>
      </c>
    </row>
    <row r="45" spans="1:10">
      <c r="A45" s="127" t="s">
        <v>144</v>
      </c>
    </row>
    <row r="46" spans="1:10">
      <c r="B46" s="128" t="s">
        <v>189</v>
      </c>
      <c r="J46" s="129">
        <v>3603.47</v>
      </c>
    </row>
    <row r="47" spans="1:10">
      <c r="B47" s="128" t="s">
        <v>78</v>
      </c>
      <c r="C47" s="128" t="s">
        <v>50</v>
      </c>
      <c r="D47" s="128">
        <v>3492</v>
      </c>
      <c r="E47" s="128" t="s">
        <v>91</v>
      </c>
      <c r="F47" s="128" t="s">
        <v>53</v>
      </c>
      <c r="G47" s="128" t="s">
        <v>79</v>
      </c>
      <c r="H47" s="128" t="s">
        <v>51</v>
      </c>
      <c r="I47" s="129">
        <v>1484.85</v>
      </c>
      <c r="J47" s="129">
        <v>5088.32</v>
      </c>
    </row>
    <row r="48" spans="1:10">
      <c r="A48" s="127" t="s">
        <v>149</v>
      </c>
      <c r="I48" s="131">
        <v>1484.85</v>
      </c>
    </row>
    <row r="49" spans="1:10">
      <c r="A49" s="127" t="s">
        <v>150</v>
      </c>
    </row>
    <row r="50" spans="1:10">
      <c r="B50" s="128" t="s">
        <v>189</v>
      </c>
      <c r="J50" s="129">
        <v>25078</v>
      </c>
    </row>
    <row r="51" spans="1:10">
      <c r="B51" s="128" t="s">
        <v>77</v>
      </c>
      <c r="C51" s="128" t="s">
        <v>50</v>
      </c>
      <c r="D51" s="128">
        <v>3487</v>
      </c>
      <c r="E51" s="128" t="s">
        <v>91</v>
      </c>
      <c r="F51" s="128" t="s">
        <v>54</v>
      </c>
      <c r="G51" s="128" t="s">
        <v>80</v>
      </c>
      <c r="H51" s="128" t="s">
        <v>51</v>
      </c>
      <c r="I51" s="129">
        <v>2666</v>
      </c>
      <c r="J51" s="129">
        <v>27744</v>
      </c>
    </row>
    <row r="52" spans="1:10">
      <c r="B52" s="128" t="s">
        <v>78</v>
      </c>
      <c r="C52" s="128" t="s">
        <v>50</v>
      </c>
      <c r="D52" s="128">
        <v>3491</v>
      </c>
      <c r="E52" s="128" t="s">
        <v>91</v>
      </c>
      <c r="F52" s="128" t="s">
        <v>54</v>
      </c>
      <c r="G52" s="128" t="s">
        <v>81</v>
      </c>
      <c r="H52" s="128" t="s">
        <v>51</v>
      </c>
      <c r="I52" s="129">
        <v>2666</v>
      </c>
      <c r="J52" s="129">
        <v>30410</v>
      </c>
    </row>
    <row r="53" spans="1:10">
      <c r="B53" s="128" t="s">
        <v>181</v>
      </c>
      <c r="C53" s="128" t="s">
        <v>50</v>
      </c>
      <c r="D53" s="128">
        <v>3495</v>
      </c>
      <c r="E53" s="128" t="s">
        <v>91</v>
      </c>
      <c r="F53" s="128" t="s">
        <v>54</v>
      </c>
      <c r="G53" s="128"/>
      <c r="H53" s="128" t="s">
        <v>51</v>
      </c>
      <c r="I53" s="129">
        <v>2666</v>
      </c>
      <c r="J53" s="129">
        <v>33076</v>
      </c>
    </row>
    <row r="54" spans="1:10">
      <c r="A54" s="127" t="s">
        <v>151</v>
      </c>
      <c r="I54" s="131">
        <v>7998</v>
      </c>
    </row>
    <row r="55" spans="1:10">
      <c r="A55" s="127" t="s">
        <v>152</v>
      </c>
      <c r="I55" s="131">
        <v>11192.85</v>
      </c>
    </row>
    <row r="56" spans="1:10">
      <c r="A56" s="127" t="s">
        <v>120</v>
      </c>
    </row>
    <row r="57" spans="1:10">
      <c r="B57" s="128" t="s">
        <v>89</v>
      </c>
      <c r="J57" s="129">
        <v>4000</v>
      </c>
    </row>
    <row r="58" spans="1:10">
      <c r="A58" s="127" t="s">
        <v>154</v>
      </c>
      <c r="I58" s="131"/>
    </row>
    <row r="59" spans="1:10">
      <c r="A59" s="127" t="s">
        <v>107</v>
      </c>
    </row>
    <row r="60" spans="1:10">
      <c r="B60" s="128" t="s">
        <v>89</v>
      </c>
      <c r="J60" s="129">
        <v>2601</v>
      </c>
    </row>
    <row r="61" spans="1:10">
      <c r="A61" s="127" t="s">
        <v>155</v>
      </c>
      <c r="I61" s="131"/>
    </row>
    <row r="62" spans="1:10">
      <c r="A62" s="127" t="s">
        <v>156</v>
      </c>
    </row>
    <row r="63" spans="1:10">
      <c r="A63" s="127" t="s">
        <v>157</v>
      </c>
    </row>
    <row r="64" spans="1:10">
      <c r="B64" s="128" t="s">
        <v>189</v>
      </c>
      <c r="J64" s="129">
        <v>439.78</v>
      </c>
    </row>
    <row r="65" spans="1:10">
      <c r="B65" s="128" t="s">
        <v>77</v>
      </c>
      <c r="C65" s="128" t="s">
        <v>50</v>
      </c>
      <c r="D65" s="128">
        <v>3490</v>
      </c>
      <c r="E65" s="128" t="s">
        <v>91</v>
      </c>
      <c r="F65" s="128" t="s">
        <v>178</v>
      </c>
      <c r="G65" s="128" t="s">
        <v>190</v>
      </c>
      <c r="H65" s="128" t="s">
        <v>51</v>
      </c>
      <c r="I65" s="129">
        <v>0</v>
      </c>
      <c r="J65" s="129">
        <v>439.78</v>
      </c>
    </row>
    <row r="66" spans="1:10">
      <c r="B66" s="128" t="s">
        <v>77</v>
      </c>
      <c r="C66" s="128" t="s">
        <v>50</v>
      </c>
      <c r="D66" s="128">
        <v>3487</v>
      </c>
      <c r="E66" s="128" t="s">
        <v>91</v>
      </c>
      <c r="F66" s="128" t="s">
        <v>54</v>
      </c>
      <c r="G66" s="128" t="s">
        <v>56</v>
      </c>
      <c r="H66" s="128" t="s">
        <v>51</v>
      </c>
      <c r="I66" s="129">
        <v>14.99</v>
      </c>
      <c r="J66" s="129">
        <v>454.77</v>
      </c>
    </row>
    <row r="67" spans="1:10">
      <c r="B67" s="128" t="s">
        <v>77</v>
      </c>
      <c r="C67" s="128" t="s">
        <v>50</v>
      </c>
      <c r="D67" s="128">
        <v>3487</v>
      </c>
      <c r="E67" s="128" t="s">
        <v>91</v>
      </c>
      <c r="F67" s="128" t="s">
        <v>54</v>
      </c>
      <c r="G67" s="128" t="s">
        <v>57</v>
      </c>
      <c r="H67" s="128" t="s">
        <v>51</v>
      </c>
      <c r="I67" s="129">
        <v>9.99</v>
      </c>
      <c r="J67" s="129">
        <v>464.76</v>
      </c>
    </row>
    <row r="68" spans="1:10">
      <c r="B68" s="128" t="s">
        <v>78</v>
      </c>
      <c r="C68" s="128" t="s">
        <v>50</v>
      </c>
      <c r="D68" s="128">
        <v>3491</v>
      </c>
      <c r="E68" s="128" t="s">
        <v>91</v>
      </c>
      <c r="F68" s="128" t="s">
        <v>54</v>
      </c>
      <c r="G68" s="128" t="s">
        <v>56</v>
      </c>
      <c r="H68" s="128" t="s">
        <v>51</v>
      </c>
      <c r="I68" s="129">
        <v>14.99</v>
      </c>
      <c r="J68" s="129">
        <v>479.75</v>
      </c>
    </row>
    <row r="69" spans="1:10">
      <c r="B69" s="128" t="s">
        <v>78</v>
      </c>
      <c r="C69" s="128" t="s">
        <v>50</v>
      </c>
      <c r="D69" s="128">
        <v>3491</v>
      </c>
      <c r="E69" s="128" t="s">
        <v>91</v>
      </c>
      <c r="F69" s="128" t="s">
        <v>54</v>
      </c>
      <c r="G69" s="128" t="s">
        <v>57</v>
      </c>
      <c r="H69" s="128" t="s">
        <v>51</v>
      </c>
      <c r="I69" s="129">
        <v>9.99</v>
      </c>
      <c r="J69" s="129">
        <v>489.74</v>
      </c>
    </row>
    <row r="70" spans="1:10">
      <c r="B70" s="128" t="s">
        <v>181</v>
      </c>
      <c r="C70" s="128" t="s">
        <v>50</v>
      </c>
      <c r="D70" s="128">
        <v>3495</v>
      </c>
      <c r="E70" s="128" t="s">
        <v>91</v>
      </c>
      <c r="F70" s="128" t="s">
        <v>54</v>
      </c>
      <c r="G70" s="128" t="s">
        <v>56</v>
      </c>
      <c r="H70" s="128" t="s">
        <v>51</v>
      </c>
      <c r="I70" s="129">
        <v>15.48</v>
      </c>
      <c r="J70" s="129">
        <v>505.22</v>
      </c>
    </row>
    <row r="71" spans="1:10">
      <c r="B71" s="128" t="s">
        <v>181</v>
      </c>
      <c r="C71" s="128" t="s">
        <v>50</v>
      </c>
      <c r="D71" s="128">
        <v>3495</v>
      </c>
      <c r="E71" s="128" t="s">
        <v>91</v>
      </c>
      <c r="F71" s="128" t="s">
        <v>54</v>
      </c>
      <c r="G71" s="128" t="s">
        <v>57</v>
      </c>
      <c r="H71" s="128" t="s">
        <v>51</v>
      </c>
      <c r="I71" s="129">
        <v>9.99</v>
      </c>
      <c r="J71" s="129">
        <v>515.21</v>
      </c>
    </row>
    <row r="72" spans="1:10">
      <c r="A72" s="127" t="s">
        <v>158</v>
      </c>
      <c r="I72" s="131">
        <v>75.430000000000007</v>
      </c>
    </row>
    <row r="73" spans="1:10">
      <c r="A73" s="127" t="s">
        <v>191</v>
      </c>
    </row>
    <row r="74" spans="1:10">
      <c r="B74" s="128" t="s">
        <v>189</v>
      </c>
      <c r="J74" s="129">
        <v>97.21</v>
      </c>
    </row>
    <row r="75" spans="1:10">
      <c r="B75" s="128" t="s">
        <v>77</v>
      </c>
      <c r="C75" s="128" t="s">
        <v>50</v>
      </c>
      <c r="D75" s="128">
        <v>3487</v>
      </c>
      <c r="E75" s="128" t="s">
        <v>91</v>
      </c>
      <c r="F75" s="128" t="s">
        <v>54</v>
      </c>
      <c r="G75" s="128" t="s">
        <v>82</v>
      </c>
      <c r="H75" s="128" t="s">
        <v>51</v>
      </c>
      <c r="I75" s="129">
        <v>33.79</v>
      </c>
      <c r="J75" s="129">
        <v>131</v>
      </c>
    </row>
    <row r="76" spans="1:10">
      <c r="A76" s="127" t="s">
        <v>192</v>
      </c>
      <c r="I76" s="131">
        <v>33.79</v>
      </c>
    </row>
    <row r="77" spans="1:10">
      <c r="A77" s="127" t="s">
        <v>159</v>
      </c>
    </row>
    <row r="78" spans="1:10">
      <c r="B78" s="128" t="s">
        <v>189</v>
      </c>
      <c r="J78" s="129">
        <v>859.4</v>
      </c>
    </row>
    <row r="79" spans="1:10">
      <c r="B79" s="128" t="s">
        <v>77</v>
      </c>
      <c r="C79" s="128" t="s">
        <v>50</v>
      </c>
      <c r="D79" s="128">
        <v>3489</v>
      </c>
      <c r="E79" s="128" t="s">
        <v>91</v>
      </c>
      <c r="F79" s="128" t="s">
        <v>83</v>
      </c>
      <c r="G79" s="128" t="s">
        <v>84</v>
      </c>
      <c r="H79" s="128" t="s">
        <v>51</v>
      </c>
      <c r="I79" s="129">
        <v>29.9</v>
      </c>
      <c r="J79" s="129">
        <v>889.3</v>
      </c>
    </row>
    <row r="80" spans="1:10">
      <c r="B80" s="128" t="s">
        <v>78</v>
      </c>
      <c r="C80" s="128" t="s">
        <v>50</v>
      </c>
      <c r="D80" s="128">
        <v>3494</v>
      </c>
      <c r="E80" s="128" t="s">
        <v>91</v>
      </c>
      <c r="F80" s="128" t="s">
        <v>83</v>
      </c>
      <c r="G80" s="128" t="s">
        <v>84</v>
      </c>
      <c r="H80" s="128" t="s">
        <v>51</v>
      </c>
      <c r="I80" s="129">
        <v>29.9</v>
      </c>
      <c r="J80" s="129">
        <v>919.2</v>
      </c>
    </row>
    <row r="81" spans="1:10">
      <c r="B81" s="128" t="s">
        <v>78</v>
      </c>
      <c r="C81" s="128" t="s">
        <v>50</v>
      </c>
      <c r="D81" s="128">
        <v>3491</v>
      </c>
      <c r="E81" s="128" t="s">
        <v>91</v>
      </c>
      <c r="F81" s="128" t="s">
        <v>54</v>
      </c>
      <c r="G81" s="128"/>
      <c r="H81" s="128" t="s">
        <v>51</v>
      </c>
      <c r="I81" s="129">
        <v>284</v>
      </c>
      <c r="J81" s="129">
        <v>1203.2</v>
      </c>
    </row>
    <row r="82" spans="1:10">
      <c r="A82" s="127" t="s">
        <v>160</v>
      </c>
      <c r="I82" s="131">
        <v>343.8</v>
      </c>
    </row>
    <row r="83" spans="1:10">
      <c r="A83" s="127" t="s">
        <v>161</v>
      </c>
      <c r="I83" s="131">
        <v>453.02</v>
      </c>
    </row>
    <row r="84" spans="1:10">
      <c r="A84" s="127" t="s">
        <v>162</v>
      </c>
    </row>
    <row r="85" spans="1:10">
      <c r="A85" s="127" t="s">
        <v>163</v>
      </c>
    </row>
    <row r="86" spans="1:10">
      <c r="B86" s="128" t="s">
        <v>189</v>
      </c>
      <c r="J86" s="129">
        <v>131448.92000000001</v>
      </c>
    </row>
    <row r="87" spans="1:10">
      <c r="B87" s="128" t="s">
        <v>85</v>
      </c>
      <c r="C87" s="128" t="s">
        <v>48</v>
      </c>
      <c r="D87" s="128">
        <v>69</v>
      </c>
      <c r="E87" s="128" t="s">
        <v>91</v>
      </c>
      <c r="F87" s="128"/>
      <c r="G87" s="128"/>
      <c r="H87" s="130" t="s">
        <v>49</v>
      </c>
      <c r="I87" s="129">
        <v>73799.98</v>
      </c>
      <c r="J87" s="129">
        <v>205248.9</v>
      </c>
    </row>
    <row r="88" spans="1:10">
      <c r="B88" s="128" t="s">
        <v>183</v>
      </c>
      <c r="C88" s="128" t="s">
        <v>48</v>
      </c>
      <c r="D88" s="128">
        <v>70</v>
      </c>
      <c r="E88" s="128" t="s">
        <v>91</v>
      </c>
      <c r="F88" s="128"/>
      <c r="G88" s="128"/>
      <c r="H88" s="130" t="s">
        <v>49</v>
      </c>
      <c r="I88" s="129">
        <v>-83498.23</v>
      </c>
      <c r="J88" s="129">
        <v>121750.67</v>
      </c>
    </row>
    <row r="89" spans="1:10">
      <c r="B89" s="128" t="s">
        <v>184</v>
      </c>
      <c r="C89" s="128" t="s">
        <v>48</v>
      </c>
      <c r="D89" s="128">
        <v>71</v>
      </c>
      <c r="E89" s="128" t="s">
        <v>91</v>
      </c>
      <c r="F89" s="128"/>
      <c r="G89" s="128"/>
      <c r="H89" s="130" t="s">
        <v>49</v>
      </c>
      <c r="I89" s="129">
        <v>36497.11</v>
      </c>
      <c r="J89" s="129">
        <v>158247.78</v>
      </c>
    </row>
    <row r="90" spans="1:10">
      <c r="A90" s="127" t="s">
        <v>164</v>
      </c>
      <c r="I90" s="131">
        <v>26798.86</v>
      </c>
    </row>
    <row r="91" spans="1:10">
      <c r="A91" s="127" t="s">
        <v>165</v>
      </c>
    </row>
    <row r="92" spans="1:10">
      <c r="B92" s="128" t="s">
        <v>189</v>
      </c>
      <c r="J92" s="129">
        <v>1987.26</v>
      </c>
    </row>
    <row r="93" spans="1:10">
      <c r="B93" s="128" t="s">
        <v>183</v>
      </c>
      <c r="C93" s="128" t="s">
        <v>48</v>
      </c>
      <c r="D93" s="128">
        <v>70</v>
      </c>
      <c r="E93" s="128" t="s">
        <v>91</v>
      </c>
      <c r="F93" s="128"/>
      <c r="G93" s="128"/>
      <c r="H93" s="130" t="s">
        <v>49</v>
      </c>
      <c r="I93" s="129">
        <v>57479.07</v>
      </c>
      <c r="J93" s="129">
        <v>59466.33</v>
      </c>
    </row>
    <row r="94" spans="1:10">
      <c r="B94" s="128" t="s">
        <v>184</v>
      </c>
      <c r="C94" s="128" t="s">
        <v>48</v>
      </c>
      <c r="D94" s="128">
        <v>71</v>
      </c>
      <c r="E94" s="128" t="s">
        <v>91</v>
      </c>
      <c r="F94" s="128"/>
      <c r="G94" s="128"/>
      <c r="H94" s="130" t="s">
        <v>49</v>
      </c>
      <c r="I94" s="129">
        <v>500.04</v>
      </c>
      <c r="J94" s="129">
        <v>59966.37</v>
      </c>
    </row>
    <row r="95" spans="1:10">
      <c r="A95" s="127" t="s">
        <v>166</v>
      </c>
      <c r="I95" s="131">
        <v>57979.11</v>
      </c>
    </row>
    <row r="96" spans="1:10">
      <c r="A96" s="127" t="s">
        <v>167</v>
      </c>
    </row>
    <row r="97" spans="1:10">
      <c r="B97" s="128" t="s">
        <v>189</v>
      </c>
      <c r="J97" s="129">
        <v>0.7</v>
      </c>
    </row>
    <row r="98" spans="1:10">
      <c r="B98" s="128" t="s">
        <v>85</v>
      </c>
      <c r="C98" s="128" t="s">
        <v>48</v>
      </c>
      <c r="D98" s="128">
        <v>69</v>
      </c>
      <c r="E98" s="128" t="s">
        <v>91</v>
      </c>
      <c r="F98" s="128"/>
      <c r="G98" s="128"/>
      <c r="H98" s="130" t="s">
        <v>49</v>
      </c>
      <c r="I98" s="129">
        <v>0.05</v>
      </c>
      <c r="J98" s="129">
        <v>0.75</v>
      </c>
    </row>
    <row r="99" spans="1:10">
      <c r="B99" s="128" t="s">
        <v>183</v>
      </c>
      <c r="C99" s="128" t="s">
        <v>48</v>
      </c>
      <c r="D99" s="128">
        <v>70</v>
      </c>
      <c r="E99" s="128" t="s">
        <v>91</v>
      </c>
      <c r="F99" s="128"/>
      <c r="G99" s="128"/>
      <c r="H99" s="130" t="s">
        <v>49</v>
      </c>
      <c r="I99" s="129">
        <v>0.05</v>
      </c>
      <c r="J99" s="129">
        <v>0.8</v>
      </c>
    </row>
    <row r="100" spans="1:10">
      <c r="B100" s="128" t="s">
        <v>184</v>
      </c>
      <c r="C100" s="128" t="s">
        <v>48</v>
      </c>
      <c r="D100" s="128">
        <v>71</v>
      </c>
      <c r="E100" s="128" t="s">
        <v>91</v>
      </c>
      <c r="F100" s="128"/>
      <c r="G100" s="128"/>
      <c r="H100" s="130" t="s">
        <v>49</v>
      </c>
      <c r="I100" s="129">
        <v>0.14000000000000001</v>
      </c>
      <c r="J100" s="129">
        <v>0.94</v>
      </c>
    </row>
    <row r="101" spans="1:10">
      <c r="A101" s="127" t="s">
        <v>168</v>
      </c>
      <c r="I101" s="131">
        <v>0.24</v>
      </c>
    </row>
    <row r="102" spans="1:10">
      <c r="A102" s="127" t="s">
        <v>169</v>
      </c>
    </row>
    <row r="103" spans="1:10">
      <c r="B103" s="128" t="s">
        <v>189</v>
      </c>
      <c r="J103" s="129">
        <v>23971.49</v>
      </c>
    </row>
    <row r="104" spans="1:10">
      <c r="B104" s="128" t="s">
        <v>85</v>
      </c>
      <c r="C104" s="128" t="s">
        <v>48</v>
      </c>
      <c r="D104" s="128">
        <v>69</v>
      </c>
      <c r="E104" s="128" t="s">
        <v>91</v>
      </c>
      <c r="F104" s="128"/>
      <c r="G104" s="128"/>
      <c r="H104" s="130" t="s">
        <v>49</v>
      </c>
      <c r="I104" s="129">
        <v>1253.48</v>
      </c>
      <c r="J104" s="129">
        <v>25224.97</v>
      </c>
    </row>
    <row r="105" spans="1:10">
      <c r="B105" s="128" t="s">
        <v>183</v>
      </c>
      <c r="C105" s="128" t="s">
        <v>48</v>
      </c>
      <c r="D105" s="128">
        <v>70</v>
      </c>
      <c r="E105" s="128" t="s">
        <v>91</v>
      </c>
      <c r="F105" s="128"/>
      <c r="G105" s="128"/>
      <c r="H105" s="130" t="s">
        <v>49</v>
      </c>
      <c r="I105" s="129">
        <v>994.64</v>
      </c>
      <c r="J105" s="129">
        <v>26219.61</v>
      </c>
    </row>
    <row r="106" spans="1:10">
      <c r="B106" s="128" t="s">
        <v>184</v>
      </c>
      <c r="C106" s="128" t="s">
        <v>48</v>
      </c>
      <c r="D106" s="128">
        <v>71</v>
      </c>
      <c r="E106" s="128" t="s">
        <v>91</v>
      </c>
      <c r="F106" s="128"/>
      <c r="G106" s="128"/>
      <c r="H106" s="130" t="s">
        <v>49</v>
      </c>
      <c r="I106" s="129">
        <v>11756.25</v>
      </c>
      <c r="J106" s="129">
        <v>37975.86</v>
      </c>
    </row>
    <row r="107" spans="1:10">
      <c r="A107" s="127" t="s">
        <v>170</v>
      </c>
      <c r="I107" s="131">
        <v>14004.37</v>
      </c>
    </row>
    <row r="108" spans="1:10">
      <c r="A108" s="127" t="s">
        <v>171</v>
      </c>
    </row>
    <row r="109" spans="1:10">
      <c r="B109" s="128" t="s">
        <v>189</v>
      </c>
      <c r="J109" s="129">
        <v>-12392.67</v>
      </c>
    </row>
    <row r="110" spans="1:10">
      <c r="B110" s="128" t="s">
        <v>85</v>
      </c>
      <c r="C110" s="128" t="s">
        <v>48</v>
      </c>
      <c r="D110" s="128">
        <v>69</v>
      </c>
      <c r="E110" s="128" t="s">
        <v>91</v>
      </c>
      <c r="F110" s="128"/>
      <c r="G110" s="128"/>
      <c r="H110" s="130" t="s">
        <v>49</v>
      </c>
      <c r="I110" s="129">
        <v>-4517.13</v>
      </c>
      <c r="J110" s="129">
        <v>-16909.8</v>
      </c>
    </row>
    <row r="111" spans="1:10">
      <c r="A111" s="127" t="s">
        <v>172</v>
      </c>
      <c r="I111" s="131">
        <v>-4517.13</v>
      </c>
    </row>
    <row r="112" spans="1:10">
      <c r="A112" s="127" t="s">
        <v>173</v>
      </c>
      <c r="I112" s="131">
        <v>94265.45</v>
      </c>
    </row>
    <row r="115" spans="1:10">
      <c r="A115" s="180" t="s">
        <v>197</v>
      </c>
      <c r="B115" s="178"/>
      <c r="C115" s="178"/>
      <c r="D115" s="178"/>
      <c r="E115" s="178"/>
      <c r="F115" s="178"/>
      <c r="G115" s="178"/>
      <c r="H115" s="178"/>
      <c r="I115" s="178"/>
      <c r="J115" s="178"/>
    </row>
  </sheetData>
  <mergeCells count="4">
    <mergeCell ref="A1:J1"/>
    <mergeCell ref="A2:J2"/>
    <mergeCell ref="A3:J3"/>
    <mergeCell ref="A115:J115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D8C5B2-5D9D-4758-A2E2-903392C9D5B6}">
  <dimension ref="A1:M152"/>
  <sheetViews>
    <sheetView topLeftCell="A23" workbookViewId="0">
      <selection activeCell="J43" sqref="J43"/>
    </sheetView>
  </sheetViews>
  <sheetFormatPr defaultRowHeight="13.2"/>
  <cols>
    <col min="1" max="1" width="38.109375" customWidth="1"/>
    <col min="2" max="2" width="13.88671875" bestFit="1" customWidth="1"/>
    <col min="3" max="3" width="15.109375" bestFit="1" customWidth="1"/>
    <col min="4" max="4" width="4.6640625" bestFit="1" customWidth="1"/>
    <col min="5" max="5" width="3.5546875" bestFit="1" customWidth="1"/>
    <col min="6" max="6" width="24.33203125" bestFit="1" customWidth="1"/>
    <col min="7" max="7" width="21" bestFit="1" customWidth="1"/>
    <col min="8" max="8" width="36.33203125" bestFit="1" customWidth="1"/>
    <col min="9" max="9" width="12.109375" bestFit="1" customWidth="1"/>
    <col min="10" max="10" width="11.33203125" bestFit="1" customWidth="1"/>
    <col min="12" max="12" width="16.109375" style="142" customWidth="1"/>
    <col min="13" max="13" width="10.6640625" style="106" bestFit="1" customWidth="1"/>
  </cols>
  <sheetData>
    <row r="1" spans="1:10" ht="17.399999999999999">
      <c r="A1" s="183" t="s">
        <v>39</v>
      </c>
      <c r="B1" s="182"/>
      <c r="C1" s="182"/>
      <c r="D1" s="182"/>
      <c r="E1" s="182"/>
      <c r="F1" s="182"/>
      <c r="G1" s="182"/>
      <c r="H1" s="182"/>
      <c r="I1" s="182"/>
      <c r="J1" s="182"/>
    </row>
    <row r="2" spans="1:10" ht="17.399999999999999">
      <c r="A2" s="183" t="s">
        <v>87</v>
      </c>
      <c r="B2" s="182"/>
      <c r="C2" s="182"/>
      <c r="D2" s="182"/>
      <c r="E2" s="182"/>
      <c r="F2" s="182"/>
      <c r="G2" s="182"/>
      <c r="H2" s="182"/>
      <c r="I2" s="182"/>
      <c r="J2" s="182"/>
    </row>
    <row r="3" spans="1:10" ht="14.4">
      <c r="A3" s="184" t="s">
        <v>207</v>
      </c>
      <c r="B3" s="182"/>
      <c r="C3" s="182"/>
      <c r="D3" s="182"/>
      <c r="E3" s="182"/>
      <c r="F3" s="182"/>
      <c r="G3" s="182"/>
      <c r="H3" s="182"/>
      <c r="I3" s="182"/>
      <c r="J3" s="182"/>
    </row>
    <row r="5" spans="1:10" ht="14.4">
      <c r="A5" s="159"/>
      <c r="B5" s="160" t="s">
        <v>40</v>
      </c>
      <c r="C5" s="160" t="s">
        <v>41</v>
      </c>
      <c r="D5" s="160" t="s">
        <v>42</v>
      </c>
      <c r="E5" s="160" t="s">
        <v>88</v>
      </c>
      <c r="F5" s="160" t="s">
        <v>43</v>
      </c>
      <c r="G5" s="160" t="s">
        <v>44</v>
      </c>
      <c r="H5" s="160" t="s">
        <v>45</v>
      </c>
      <c r="I5" s="160" t="s">
        <v>46</v>
      </c>
      <c r="J5" s="160" t="s">
        <v>47</v>
      </c>
    </row>
    <row r="6" spans="1:10" ht="14.4">
      <c r="A6" s="161" t="s">
        <v>51</v>
      </c>
      <c r="B6" s="159"/>
      <c r="C6" s="159"/>
      <c r="D6" s="159"/>
      <c r="E6" s="159"/>
      <c r="F6" s="159"/>
      <c r="G6" s="159"/>
      <c r="H6" s="159"/>
      <c r="I6" s="159"/>
      <c r="J6" s="159"/>
    </row>
    <row r="7" spans="1:10" ht="14.4">
      <c r="A7" s="159"/>
      <c r="B7" s="162" t="s">
        <v>89</v>
      </c>
      <c r="C7" s="159"/>
      <c r="D7" s="159"/>
      <c r="E7" s="159"/>
      <c r="F7" s="159"/>
      <c r="G7" s="159"/>
      <c r="H7" s="159"/>
      <c r="I7" s="159"/>
      <c r="J7" s="163">
        <v>1624353.4</v>
      </c>
    </row>
    <row r="8" spans="1:10" ht="14.4">
      <c r="A8" s="159"/>
      <c r="B8" s="162" t="s">
        <v>208</v>
      </c>
      <c r="C8" s="162" t="s">
        <v>50</v>
      </c>
      <c r="D8" s="162">
        <v>3380</v>
      </c>
      <c r="E8" s="162" t="s">
        <v>91</v>
      </c>
      <c r="F8" s="162" t="s">
        <v>54</v>
      </c>
      <c r="G8" s="162" t="s">
        <v>209</v>
      </c>
      <c r="H8" s="164" t="s">
        <v>49</v>
      </c>
      <c r="I8" s="163">
        <v>-2691.47</v>
      </c>
      <c r="J8" s="163">
        <v>1621661.93</v>
      </c>
    </row>
    <row r="9" spans="1:10" ht="14.4">
      <c r="A9" s="159"/>
      <c r="B9" s="162" t="s">
        <v>208</v>
      </c>
      <c r="C9" s="162" t="s">
        <v>50</v>
      </c>
      <c r="D9" s="162">
        <v>3381</v>
      </c>
      <c r="E9" s="162" t="s">
        <v>91</v>
      </c>
      <c r="F9" s="162" t="s">
        <v>83</v>
      </c>
      <c r="G9" s="162" t="s">
        <v>210</v>
      </c>
      <c r="H9" s="162" t="s">
        <v>93</v>
      </c>
      <c r="I9" s="163">
        <v>-179.4</v>
      </c>
      <c r="J9" s="163">
        <v>1621482.53</v>
      </c>
    </row>
    <row r="10" spans="1:10" ht="14.4">
      <c r="A10" s="159"/>
      <c r="B10" s="162" t="s">
        <v>208</v>
      </c>
      <c r="C10" s="162" t="s">
        <v>50</v>
      </c>
      <c r="D10" s="162">
        <v>3383</v>
      </c>
      <c r="E10" s="162" t="s">
        <v>91</v>
      </c>
      <c r="F10" s="162" t="s">
        <v>55</v>
      </c>
      <c r="G10" s="162" t="s">
        <v>211</v>
      </c>
      <c r="H10" s="162" t="s">
        <v>107</v>
      </c>
      <c r="I10" s="163">
        <v>-2692</v>
      </c>
      <c r="J10" s="163">
        <v>1618790.53</v>
      </c>
    </row>
    <row r="11" spans="1:10" ht="14.4">
      <c r="A11" s="159"/>
      <c r="B11" s="162" t="s">
        <v>208</v>
      </c>
      <c r="C11" s="162" t="s">
        <v>50</v>
      </c>
      <c r="D11" s="162">
        <v>3382</v>
      </c>
      <c r="E11" s="162" t="s">
        <v>91</v>
      </c>
      <c r="F11" s="162" t="s">
        <v>69</v>
      </c>
      <c r="G11" s="162" t="s">
        <v>212</v>
      </c>
      <c r="H11" s="162" t="s">
        <v>95</v>
      </c>
      <c r="I11" s="163">
        <v>-168.4</v>
      </c>
      <c r="J11" s="163">
        <v>1618622.13</v>
      </c>
    </row>
    <row r="12" spans="1:10" ht="14.4">
      <c r="A12" s="159"/>
      <c r="B12" s="162" t="s">
        <v>208</v>
      </c>
      <c r="C12" s="162" t="s">
        <v>50</v>
      </c>
      <c r="D12" s="162">
        <v>3384</v>
      </c>
      <c r="E12" s="162" t="s">
        <v>91</v>
      </c>
      <c r="F12" s="162" t="s">
        <v>102</v>
      </c>
      <c r="G12" s="162"/>
      <c r="H12" s="162" t="s">
        <v>100</v>
      </c>
      <c r="I12" s="163">
        <v>-125000</v>
      </c>
      <c r="J12" s="163">
        <v>1493622.13</v>
      </c>
    </row>
    <row r="13" spans="1:10" ht="14.4">
      <c r="A13" s="159"/>
      <c r="B13" s="162" t="s">
        <v>213</v>
      </c>
      <c r="C13" s="162" t="s">
        <v>50</v>
      </c>
      <c r="D13" s="162">
        <v>3385</v>
      </c>
      <c r="E13" s="162" t="s">
        <v>91</v>
      </c>
      <c r="F13" s="162" t="s">
        <v>54</v>
      </c>
      <c r="G13" s="162" t="s">
        <v>214</v>
      </c>
      <c r="H13" s="164" t="s">
        <v>49</v>
      </c>
      <c r="I13" s="163">
        <v>-3775.47</v>
      </c>
      <c r="J13" s="163">
        <v>1489846.66</v>
      </c>
    </row>
    <row r="14" spans="1:10" ht="14.4">
      <c r="A14" s="159"/>
      <c r="B14" s="162" t="s">
        <v>213</v>
      </c>
      <c r="C14" s="162" t="s">
        <v>50</v>
      </c>
      <c r="D14" s="162">
        <v>3386</v>
      </c>
      <c r="E14" s="162" t="s">
        <v>91</v>
      </c>
      <c r="F14" s="162" t="s">
        <v>52</v>
      </c>
      <c r="G14" s="162" t="s">
        <v>214</v>
      </c>
      <c r="H14" s="162" t="s">
        <v>105</v>
      </c>
      <c r="I14" s="163">
        <v>-942.5</v>
      </c>
      <c r="J14" s="163">
        <v>1488904.16</v>
      </c>
    </row>
    <row r="15" spans="1:10" ht="14.4">
      <c r="A15" s="159"/>
      <c r="B15" s="162" t="s">
        <v>215</v>
      </c>
      <c r="C15" s="162" t="s">
        <v>50</v>
      </c>
      <c r="D15" s="162">
        <v>3387</v>
      </c>
      <c r="E15" s="162" t="s">
        <v>91</v>
      </c>
      <c r="F15" s="162" t="s">
        <v>54</v>
      </c>
      <c r="G15" s="162" t="s">
        <v>216</v>
      </c>
      <c r="H15" s="164" t="s">
        <v>49</v>
      </c>
      <c r="I15" s="163">
        <v>-3775.47</v>
      </c>
      <c r="J15" s="163">
        <v>1485128.69</v>
      </c>
    </row>
    <row r="16" spans="1:10" ht="14.4">
      <c r="A16" s="159"/>
      <c r="B16" s="162" t="s">
        <v>217</v>
      </c>
      <c r="C16" s="162" t="s">
        <v>50</v>
      </c>
      <c r="D16" s="162">
        <v>3388</v>
      </c>
      <c r="E16" s="162" t="s">
        <v>91</v>
      </c>
      <c r="F16" s="162" t="s">
        <v>54</v>
      </c>
      <c r="G16" s="162" t="s">
        <v>216</v>
      </c>
      <c r="H16" s="164" t="s">
        <v>49</v>
      </c>
      <c r="I16" s="163">
        <v>-3775.47</v>
      </c>
      <c r="J16" s="163">
        <v>1481353.22</v>
      </c>
    </row>
    <row r="17" spans="1:10" ht="14.4">
      <c r="A17" s="159"/>
      <c r="B17" s="162" t="s">
        <v>217</v>
      </c>
      <c r="C17" s="162" t="s">
        <v>50</v>
      </c>
      <c r="D17" s="162">
        <v>3389</v>
      </c>
      <c r="E17" s="162" t="s">
        <v>91</v>
      </c>
      <c r="F17" s="162" t="s">
        <v>53</v>
      </c>
      <c r="G17" s="162" t="s">
        <v>218</v>
      </c>
      <c r="H17" s="162" t="s">
        <v>96</v>
      </c>
      <c r="I17" s="163">
        <v>-1553.16</v>
      </c>
      <c r="J17" s="163">
        <v>1479800.06</v>
      </c>
    </row>
    <row r="18" spans="1:10" ht="14.4">
      <c r="A18" s="159"/>
      <c r="B18" s="162" t="s">
        <v>219</v>
      </c>
      <c r="C18" s="162" t="s">
        <v>50</v>
      </c>
      <c r="D18" s="162">
        <v>3391</v>
      </c>
      <c r="E18" s="162" t="s">
        <v>91</v>
      </c>
      <c r="F18" s="162" t="s">
        <v>52</v>
      </c>
      <c r="G18" s="162" t="s">
        <v>220</v>
      </c>
      <c r="H18" s="162" t="s">
        <v>105</v>
      </c>
      <c r="I18" s="163">
        <v>-292.5</v>
      </c>
      <c r="J18" s="163">
        <v>1479507.56</v>
      </c>
    </row>
    <row r="19" spans="1:10" ht="14.4">
      <c r="A19" s="159"/>
      <c r="B19" s="162" t="s">
        <v>219</v>
      </c>
      <c r="C19" s="162" t="s">
        <v>50</v>
      </c>
      <c r="D19" s="162">
        <v>3392</v>
      </c>
      <c r="E19" s="162" t="s">
        <v>91</v>
      </c>
      <c r="F19" s="162" t="s">
        <v>72</v>
      </c>
      <c r="G19" s="162"/>
      <c r="H19" s="162" t="s">
        <v>120</v>
      </c>
      <c r="I19" s="163">
        <v>-2610</v>
      </c>
      <c r="J19" s="163">
        <v>1476897.56</v>
      </c>
    </row>
    <row r="20" spans="1:10" ht="14.4">
      <c r="A20" s="159"/>
      <c r="B20" s="162" t="s">
        <v>219</v>
      </c>
      <c r="C20" s="162" t="s">
        <v>50</v>
      </c>
      <c r="D20" s="162">
        <v>3390</v>
      </c>
      <c r="E20" s="162" t="s">
        <v>91</v>
      </c>
      <c r="F20" s="162" t="s">
        <v>54</v>
      </c>
      <c r="G20" s="162" t="s">
        <v>216</v>
      </c>
      <c r="H20" s="164" t="s">
        <v>49</v>
      </c>
      <c r="I20" s="163">
        <v>-3775.47</v>
      </c>
      <c r="J20" s="163">
        <v>1473122.09</v>
      </c>
    </row>
    <row r="21" spans="1:10" ht="14.4">
      <c r="A21" s="159"/>
      <c r="B21" s="162" t="s">
        <v>221</v>
      </c>
      <c r="C21" s="162" t="s">
        <v>50</v>
      </c>
      <c r="D21" s="162">
        <v>3393</v>
      </c>
      <c r="E21" s="162" t="s">
        <v>91</v>
      </c>
      <c r="F21" s="162" t="s">
        <v>54</v>
      </c>
      <c r="G21" s="162" t="s">
        <v>216</v>
      </c>
      <c r="H21" s="164" t="s">
        <v>49</v>
      </c>
      <c r="I21" s="163">
        <v>-3775.47</v>
      </c>
      <c r="J21" s="163">
        <v>1469346.62</v>
      </c>
    </row>
    <row r="22" spans="1:10" ht="14.4">
      <c r="A22" s="159"/>
      <c r="B22" s="162" t="s">
        <v>222</v>
      </c>
      <c r="C22" s="162" t="s">
        <v>50</v>
      </c>
      <c r="D22" s="162">
        <v>3398</v>
      </c>
      <c r="E22" s="162" t="s">
        <v>91</v>
      </c>
      <c r="F22" s="162" t="s">
        <v>53</v>
      </c>
      <c r="G22" s="162" t="s">
        <v>218</v>
      </c>
      <c r="H22" s="162" t="s">
        <v>96</v>
      </c>
      <c r="I22" s="163">
        <v>-1414.87</v>
      </c>
      <c r="J22" s="163">
        <v>1467931.75</v>
      </c>
    </row>
    <row r="23" spans="1:10" ht="14.4">
      <c r="A23" s="159"/>
      <c r="B23" s="162" t="s">
        <v>222</v>
      </c>
      <c r="C23" s="162" t="s">
        <v>50</v>
      </c>
      <c r="D23" s="162">
        <v>3397</v>
      </c>
      <c r="E23" s="162" t="s">
        <v>91</v>
      </c>
      <c r="F23" s="162" t="s">
        <v>72</v>
      </c>
      <c r="G23" s="162"/>
      <c r="H23" s="162" t="s">
        <v>120</v>
      </c>
      <c r="I23" s="163">
        <v>-1125</v>
      </c>
      <c r="J23" s="163">
        <v>1466806.75</v>
      </c>
    </row>
    <row r="24" spans="1:10" ht="14.4">
      <c r="A24" s="159"/>
      <c r="B24" s="162" t="s">
        <v>222</v>
      </c>
      <c r="C24" s="162" t="s">
        <v>50</v>
      </c>
      <c r="D24" s="162">
        <v>3396</v>
      </c>
      <c r="E24" s="162" t="s">
        <v>91</v>
      </c>
      <c r="F24" s="162" t="s">
        <v>54</v>
      </c>
      <c r="G24" s="162" t="s">
        <v>216</v>
      </c>
      <c r="H24" s="164" t="s">
        <v>49</v>
      </c>
      <c r="I24" s="163">
        <v>-3775.47</v>
      </c>
      <c r="J24" s="163">
        <v>1463031.28</v>
      </c>
    </row>
    <row r="25" spans="1:10" ht="14.4">
      <c r="A25" s="159"/>
      <c r="B25" s="162" t="s">
        <v>223</v>
      </c>
      <c r="C25" s="162" t="s">
        <v>50</v>
      </c>
      <c r="D25" s="162">
        <v>3400</v>
      </c>
      <c r="E25" s="162" t="s">
        <v>91</v>
      </c>
      <c r="F25" s="162" t="s">
        <v>52</v>
      </c>
      <c r="G25" s="162" t="s">
        <v>220</v>
      </c>
      <c r="H25" s="162" t="s">
        <v>105</v>
      </c>
      <c r="I25" s="163">
        <v>-650</v>
      </c>
      <c r="J25" s="163">
        <v>1462381.28</v>
      </c>
    </row>
    <row r="26" spans="1:10" ht="14.4">
      <c r="A26" s="159"/>
      <c r="B26" s="162" t="s">
        <v>223</v>
      </c>
      <c r="C26" s="162" t="s">
        <v>50</v>
      </c>
      <c r="D26" s="162">
        <v>3399</v>
      </c>
      <c r="E26" s="162" t="s">
        <v>91</v>
      </c>
      <c r="F26" s="162" t="s">
        <v>54</v>
      </c>
      <c r="G26" s="162" t="s">
        <v>216</v>
      </c>
      <c r="H26" s="164" t="s">
        <v>49</v>
      </c>
      <c r="I26" s="163">
        <v>-3835.48</v>
      </c>
      <c r="J26" s="163">
        <v>1458545.8</v>
      </c>
    </row>
    <row r="27" spans="1:10" ht="14.4">
      <c r="A27" s="159"/>
      <c r="B27" s="162" t="s">
        <v>224</v>
      </c>
      <c r="C27" s="162" t="s">
        <v>225</v>
      </c>
      <c r="D27" s="162"/>
      <c r="E27" s="162" t="s">
        <v>91</v>
      </c>
      <c r="F27" s="162" t="s">
        <v>226</v>
      </c>
      <c r="G27" s="162"/>
      <c r="H27" s="162" t="s">
        <v>176</v>
      </c>
      <c r="I27" s="163">
        <v>1133116.23</v>
      </c>
      <c r="J27" s="163">
        <v>2591662.0299999998</v>
      </c>
    </row>
    <row r="28" spans="1:10" ht="14.4">
      <c r="A28" s="159"/>
      <c r="B28" s="162" t="s">
        <v>227</v>
      </c>
      <c r="C28" s="162" t="s">
        <v>50</v>
      </c>
      <c r="D28" s="162">
        <v>3401</v>
      </c>
      <c r="E28" s="162" t="s">
        <v>91</v>
      </c>
      <c r="F28" s="162" t="s">
        <v>54</v>
      </c>
      <c r="G28" s="162" t="s">
        <v>216</v>
      </c>
      <c r="H28" s="164" t="s">
        <v>49</v>
      </c>
      <c r="I28" s="163">
        <v>-3780.66</v>
      </c>
      <c r="J28" s="163">
        <v>2587881.37</v>
      </c>
    </row>
    <row r="29" spans="1:10" ht="14.4">
      <c r="A29" s="161" t="s">
        <v>123</v>
      </c>
      <c r="B29" s="159"/>
      <c r="C29" s="159"/>
      <c r="D29" s="159"/>
      <c r="E29" s="159"/>
      <c r="F29" s="159"/>
      <c r="G29" s="159"/>
      <c r="H29" s="159"/>
      <c r="I29" s="165">
        <v>963527.97</v>
      </c>
      <c r="J29" s="159"/>
    </row>
    <row r="30" spans="1:10" ht="14.4">
      <c r="A30" s="161" t="s">
        <v>100</v>
      </c>
      <c r="B30" s="159"/>
      <c r="C30" s="159"/>
      <c r="D30" s="159"/>
      <c r="E30" s="159"/>
      <c r="F30" s="159"/>
      <c r="G30" s="159"/>
      <c r="H30" s="159"/>
      <c r="I30" s="159"/>
      <c r="J30" s="159"/>
    </row>
    <row r="31" spans="1:10" ht="14.4">
      <c r="A31" s="159"/>
      <c r="B31" s="162" t="s">
        <v>89</v>
      </c>
      <c r="C31" s="159"/>
      <c r="D31" s="159"/>
      <c r="E31" s="159"/>
      <c r="F31" s="159"/>
      <c r="G31" s="159"/>
      <c r="H31" s="159"/>
      <c r="I31" s="159"/>
      <c r="J31" s="163">
        <v>2021858.46</v>
      </c>
    </row>
    <row r="32" spans="1:10" ht="14.4">
      <c r="A32" s="159"/>
      <c r="B32" s="162" t="s">
        <v>208</v>
      </c>
      <c r="C32" s="162" t="s">
        <v>50</v>
      </c>
      <c r="D32" s="162">
        <v>3384</v>
      </c>
      <c r="E32" s="162" t="s">
        <v>91</v>
      </c>
      <c r="F32" s="162" t="s">
        <v>102</v>
      </c>
      <c r="G32" s="162" t="s">
        <v>228</v>
      </c>
      <c r="H32" s="162" t="s">
        <v>51</v>
      </c>
      <c r="I32" s="163">
        <v>125000</v>
      </c>
      <c r="J32" s="163">
        <v>2146858.46</v>
      </c>
    </row>
    <row r="33" spans="1:10" ht="14.4">
      <c r="A33" s="159"/>
      <c r="B33" s="162" t="s">
        <v>229</v>
      </c>
      <c r="C33" s="162" t="s">
        <v>48</v>
      </c>
      <c r="D33" s="162">
        <v>86</v>
      </c>
      <c r="E33" s="162" t="s">
        <v>91</v>
      </c>
      <c r="F33" s="162"/>
      <c r="G33" s="162"/>
      <c r="H33" s="164" t="s">
        <v>49</v>
      </c>
      <c r="I33" s="163">
        <v>96320.99</v>
      </c>
      <c r="J33" s="163">
        <v>2243179.4500000002</v>
      </c>
    </row>
    <row r="34" spans="1:10" ht="14.4">
      <c r="A34" s="159"/>
      <c r="B34" s="162" t="s">
        <v>230</v>
      </c>
      <c r="C34" s="162" t="s">
        <v>48</v>
      </c>
      <c r="D34" s="162">
        <v>87</v>
      </c>
      <c r="E34" s="162" t="s">
        <v>91</v>
      </c>
      <c r="F34" s="162"/>
      <c r="G34" s="162"/>
      <c r="H34" s="164" t="s">
        <v>49</v>
      </c>
      <c r="I34" s="163">
        <v>-45065.37</v>
      </c>
      <c r="J34" s="163">
        <v>2198114.08</v>
      </c>
    </row>
    <row r="35" spans="1:10" ht="14.4">
      <c r="A35" s="159"/>
      <c r="B35" s="162" t="s">
        <v>231</v>
      </c>
      <c r="C35" s="162" t="s">
        <v>48</v>
      </c>
      <c r="D35" s="162">
        <v>88</v>
      </c>
      <c r="E35" s="162" t="s">
        <v>91</v>
      </c>
      <c r="F35" s="162"/>
      <c r="G35" s="162"/>
      <c r="H35" s="164" t="s">
        <v>49</v>
      </c>
      <c r="I35" s="163">
        <v>45418.38</v>
      </c>
      <c r="J35" s="163">
        <v>2243532.46</v>
      </c>
    </row>
    <row r="36" spans="1:10" ht="14.4">
      <c r="A36" s="159"/>
      <c r="B36" s="162" t="s">
        <v>232</v>
      </c>
      <c r="C36" s="162" t="s">
        <v>48</v>
      </c>
      <c r="D36" s="162">
        <v>89</v>
      </c>
      <c r="E36" s="162" t="s">
        <v>91</v>
      </c>
      <c r="F36" s="162"/>
      <c r="G36" s="162"/>
      <c r="H36" s="164" t="s">
        <v>49</v>
      </c>
      <c r="I36" s="163">
        <v>18536.27</v>
      </c>
      <c r="J36" s="163">
        <v>2262068.73</v>
      </c>
    </row>
    <row r="37" spans="1:10" ht="14.4">
      <c r="A37" s="159"/>
      <c r="B37" s="162" t="s">
        <v>233</v>
      </c>
      <c r="C37" s="162" t="s">
        <v>48</v>
      </c>
      <c r="D37" s="162">
        <v>90</v>
      </c>
      <c r="E37" s="162" t="s">
        <v>91</v>
      </c>
      <c r="F37" s="162"/>
      <c r="G37" s="162"/>
      <c r="H37" s="164" t="s">
        <v>49</v>
      </c>
      <c r="I37" s="163">
        <v>-8647.99</v>
      </c>
      <c r="J37" s="163">
        <v>2253420.7400000002</v>
      </c>
    </row>
    <row r="38" spans="1:10" ht="14.4">
      <c r="A38" s="159"/>
      <c r="B38" s="162" t="s">
        <v>234</v>
      </c>
      <c r="C38" s="162" t="s">
        <v>48</v>
      </c>
      <c r="D38" s="162">
        <v>91</v>
      </c>
      <c r="E38" s="162" t="s">
        <v>91</v>
      </c>
      <c r="F38" s="162"/>
      <c r="G38" s="162"/>
      <c r="H38" s="164" t="s">
        <v>49</v>
      </c>
      <c r="I38" s="163">
        <v>82965.56</v>
      </c>
      <c r="J38" s="163">
        <v>2336386.2999999998</v>
      </c>
    </row>
    <row r="39" spans="1:10" ht="14.4">
      <c r="A39" s="159"/>
      <c r="B39" s="162" t="s">
        <v>235</v>
      </c>
      <c r="C39" s="162" t="s">
        <v>48</v>
      </c>
      <c r="D39" s="162">
        <v>92</v>
      </c>
      <c r="E39" s="162" t="s">
        <v>91</v>
      </c>
      <c r="F39" s="162"/>
      <c r="G39" s="162"/>
      <c r="H39" s="164" t="s">
        <v>49</v>
      </c>
      <c r="I39" s="163">
        <v>50526.92</v>
      </c>
      <c r="J39" s="163">
        <v>2386913.2200000002</v>
      </c>
    </row>
    <row r="40" spans="1:10" ht="14.4">
      <c r="A40" s="159"/>
      <c r="B40" s="162" t="s">
        <v>224</v>
      </c>
      <c r="C40" s="162" t="s">
        <v>48</v>
      </c>
      <c r="D40" s="162">
        <v>93</v>
      </c>
      <c r="E40" s="162" t="s">
        <v>91</v>
      </c>
      <c r="F40" s="162"/>
      <c r="G40" s="162"/>
      <c r="H40" s="164" t="s">
        <v>49</v>
      </c>
      <c r="I40" s="163">
        <v>-30650.83</v>
      </c>
      <c r="J40" s="163">
        <v>2356262.39</v>
      </c>
    </row>
    <row r="41" spans="1:10" ht="14.4">
      <c r="A41" s="161" t="s">
        <v>133</v>
      </c>
      <c r="B41" s="159"/>
      <c r="C41" s="159"/>
      <c r="D41" s="159"/>
      <c r="E41" s="159"/>
      <c r="F41" s="159"/>
      <c r="G41" s="159"/>
      <c r="H41" s="159"/>
      <c r="I41" s="165">
        <v>334403.93</v>
      </c>
      <c r="J41" s="159"/>
    </row>
    <row r="42" spans="1:10" ht="14.4">
      <c r="A42" s="161" t="s">
        <v>68</v>
      </c>
      <c r="B42" s="159"/>
      <c r="C42" s="159"/>
      <c r="D42" s="159"/>
      <c r="E42" s="159"/>
      <c r="F42" s="159"/>
      <c r="G42" s="159"/>
      <c r="H42" s="159"/>
      <c r="I42" s="159"/>
      <c r="J42" s="159"/>
    </row>
    <row r="43" spans="1:10" ht="14.4">
      <c r="A43" s="159"/>
      <c r="B43" s="162" t="s">
        <v>89</v>
      </c>
      <c r="C43" s="159"/>
      <c r="D43" s="159"/>
      <c r="E43" s="159"/>
      <c r="F43" s="159"/>
      <c r="G43" s="159"/>
      <c r="H43" s="159"/>
      <c r="I43" s="159"/>
      <c r="J43" s="163">
        <v>700000</v>
      </c>
    </row>
    <row r="44" spans="1:10" ht="14.4">
      <c r="A44" s="161" t="s">
        <v>135</v>
      </c>
      <c r="B44" s="159"/>
      <c r="C44" s="159"/>
      <c r="D44" s="159"/>
      <c r="E44" s="159"/>
      <c r="F44" s="159"/>
      <c r="G44" s="159"/>
      <c r="H44" s="159"/>
      <c r="I44" s="165"/>
      <c r="J44" s="159"/>
    </row>
    <row r="45" spans="1:10" ht="14.4">
      <c r="A45" s="161" t="s">
        <v>136</v>
      </c>
      <c r="B45" s="159"/>
      <c r="C45" s="159"/>
      <c r="D45" s="159"/>
      <c r="E45" s="159"/>
      <c r="F45" s="159"/>
      <c r="G45" s="159"/>
      <c r="H45" s="159"/>
      <c r="I45" s="159"/>
      <c r="J45" s="159"/>
    </row>
    <row r="46" spans="1:10" ht="14.4">
      <c r="A46" s="159"/>
      <c r="B46" s="162" t="s">
        <v>89</v>
      </c>
      <c r="C46" s="159"/>
      <c r="D46" s="159"/>
      <c r="E46" s="159"/>
      <c r="F46" s="159"/>
      <c r="G46" s="159"/>
      <c r="H46" s="159"/>
      <c r="I46" s="159"/>
      <c r="J46" s="163">
        <v>2946211.86</v>
      </c>
    </row>
    <row r="47" spans="1:10" ht="14.4">
      <c r="A47" s="161" t="s">
        <v>137</v>
      </c>
      <c r="B47" s="159"/>
      <c r="C47" s="159"/>
      <c r="D47" s="159"/>
      <c r="E47" s="159"/>
      <c r="F47" s="159"/>
      <c r="G47" s="159"/>
      <c r="H47" s="159"/>
      <c r="I47" s="165"/>
      <c r="J47" s="159"/>
    </row>
    <row r="48" spans="1:10" ht="14.4">
      <c r="A48" s="161" t="s">
        <v>176</v>
      </c>
      <c r="B48" s="159"/>
      <c r="C48" s="159"/>
      <c r="D48" s="159"/>
      <c r="E48" s="159"/>
      <c r="F48" s="159"/>
      <c r="G48" s="159"/>
      <c r="H48" s="159"/>
      <c r="I48" s="159"/>
      <c r="J48" s="159"/>
    </row>
    <row r="49" spans="1:13" ht="14.4">
      <c r="A49" s="159"/>
      <c r="B49" s="162" t="s">
        <v>224</v>
      </c>
      <c r="C49" s="162" t="s">
        <v>225</v>
      </c>
      <c r="D49" s="162"/>
      <c r="E49" s="162" t="s">
        <v>91</v>
      </c>
      <c r="F49" s="162" t="s">
        <v>226</v>
      </c>
      <c r="G49" s="162"/>
      <c r="H49" s="162" t="s">
        <v>51</v>
      </c>
      <c r="I49" s="163">
        <v>1133116.23</v>
      </c>
      <c r="J49" s="163">
        <v>1133116.23</v>
      </c>
    </row>
    <row r="50" spans="1:13" ht="14.4">
      <c r="A50" s="161" t="s">
        <v>187</v>
      </c>
      <c r="B50" s="159"/>
      <c r="C50" s="159"/>
      <c r="D50" s="159"/>
      <c r="E50" s="159"/>
      <c r="F50" s="159"/>
      <c r="G50" s="159"/>
      <c r="H50" s="159"/>
      <c r="I50" s="165">
        <v>1133116.23</v>
      </c>
      <c r="J50" s="159"/>
    </row>
    <row r="51" spans="1:13" ht="14.4">
      <c r="A51" s="161" t="s">
        <v>141</v>
      </c>
      <c r="B51" s="159"/>
      <c r="C51" s="159"/>
      <c r="D51" s="159"/>
      <c r="E51" s="159"/>
      <c r="F51" s="159"/>
      <c r="G51" s="159"/>
      <c r="H51" s="159"/>
      <c r="I51" s="159"/>
      <c r="J51" s="159"/>
    </row>
    <row r="52" spans="1:13" ht="14.4">
      <c r="A52" s="161" t="s">
        <v>142</v>
      </c>
      <c r="B52" s="159"/>
      <c r="C52" s="159"/>
      <c r="D52" s="159"/>
      <c r="E52" s="159"/>
      <c r="F52" s="159"/>
      <c r="G52" s="159"/>
      <c r="H52" s="159"/>
      <c r="I52" s="159"/>
      <c r="J52" s="159"/>
    </row>
    <row r="53" spans="1:13" ht="14.4">
      <c r="A53" s="159"/>
      <c r="B53" s="162" t="s">
        <v>213</v>
      </c>
      <c r="C53" s="162" t="s">
        <v>50</v>
      </c>
      <c r="D53" s="162">
        <v>3386</v>
      </c>
      <c r="E53" s="162" t="s">
        <v>91</v>
      </c>
      <c r="F53" s="162" t="s">
        <v>52</v>
      </c>
      <c r="G53" s="162"/>
      <c r="H53" s="162" t="s">
        <v>51</v>
      </c>
      <c r="I53" s="163">
        <v>942.5</v>
      </c>
      <c r="J53" s="163">
        <v>942.5</v>
      </c>
    </row>
    <row r="54" spans="1:13" ht="14.4">
      <c r="A54" s="159"/>
      <c r="B54" s="162" t="s">
        <v>219</v>
      </c>
      <c r="C54" s="162" t="s">
        <v>50</v>
      </c>
      <c r="D54" s="162">
        <v>3391</v>
      </c>
      <c r="E54" s="162" t="s">
        <v>91</v>
      </c>
      <c r="F54" s="162" t="s">
        <v>52</v>
      </c>
      <c r="G54" s="162"/>
      <c r="H54" s="162" t="s">
        <v>51</v>
      </c>
      <c r="I54" s="163">
        <v>292.5</v>
      </c>
      <c r="J54" s="163">
        <v>1235</v>
      </c>
      <c r="M54" s="106">
        <f>+I56</f>
        <v>1885</v>
      </c>
    </row>
    <row r="55" spans="1:13" ht="14.4">
      <c r="A55" s="159"/>
      <c r="B55" s="162" t="s">
        <v>223</v>
      </c>
      <c r="C55" s="162" t="s">
        <v>50</v>
      </c>
      <c r="D55" s="162">
        <v>3400</v>
      </c>
      <c r="E55" s="162" t="s">
        <v>91</v>
      </c>
      <c r="F55" s="162" t="s">
        <v>52</v>
      </c>
      <c r="G55" s="162"/>
      <c r="H55" s="162" t="s">
        <v>51</v>
      </c>
      <c r="I55" s="163">
        <v>650</v>
      </c>
      <c r="J55" s="163">
        <v>1885</v>
      </c>
      <c r="L55" s="142" t="s">
        <v>263</v>
      </c>
      <c r="M55" s="107">
        <f>+'10.1.22 - 12.31.22 GL'!I49</f>
        <v>2440</v>
      </c>
    </row>
    <row r="56" spans="1:13" ht="14.4">
      <c r="A56" s="161" t="s">
        <v>143</v>
      </c>
      <c r="B56" s="159"/>
      <c r="C56" s="159"/>
      <c r="D56" s="159"/>
      <c r="E56" s="159"/>
      <c r="F56" s="159"/>
      <c r="G56" s="159"/>
      <c r="H56" s="159"/>
      <c r="I56" s="165">
        <v>1885</v>
      </c>
      <c r="J56" s="159"/>
      <c r="L56" s="142" t="s">
        <v>264</v>
      </c>
      <c r="M56" s="167">
        <f>SUM(M54:M55)</f>
        <v>4325</v>
      </c>
    </row>
    <row r="57" spans="1:13" ht="14.4">
      <c r="A57" s="161" t="s">
        <v>144</v>
      </c>
      <c r="B57" s="159"/>
      <c r="C57" s="159"/>
      <c r="D57" s="159"/>
      <c r="E57" s="159"/>
      <c r="F57" s="159"/>
      <c r="G57" s="159"/>
      <c r="H57" s="159"/>
      <c r="I57" s="159"/>
      <c r="J57" s="159"/>
    </row>
    <row r="58" spans="1:13" ht="14.4">
      <c r="A58" s="159"/>
      <c r="B58" s="162" t="s">
        <v>217</v>
      </c>
      <c r="C58" s="162" t="s">
        <v>50</v>
      </c>
      <c r="D58" s="162">
        <v>3389</v>
      </c>
      <c r="E58" s="162" t="s">
        <v>91</v>
      </c>
      <c r="F58" s="162" t="s">
        <v>53</v>
      </c>
      <c r="G58" s="162" t="s">
        <v>236</v>
      </c>
      <c r="H58" s="162" t="s">
        <v>51</v>
      </c>
      <c r="I58" s="163">
        <v>1553.16</v>
      </c>
      <c r="J58" s="163">
        <v>1553.16</v>
      </c>
      <c r="M58" s="106">
        <f>+I60</f>
        <v>2968.03</v>
      </c>
    </row>
    <row r="59" spans="1:13" ht="14.4">
      <c r="A59" s="159"/>
      <c r="B59" s="162" t="s">
        <v>222</v>
      </c>
      <c r="C59" s="162" t="s">
        <v>50</v>
      </c>
      <c r="D59" s="162">
        <v>3398</v>
      </c>
      <c r="E59" s="162" t="s">
        <v>91</v>
      </c>
      <c r="F59" s="162" t="s">
        <v>53</v>
      </c>
      <c r="G59" s="162" t="s">
        <v>237</v>
      </c>
      <c r="H59" s="162" t="s">
        <v>51</v>
      </c>
      <c r="I59" s="163">
        <v>1414.87</v>
      </c>
      <c r="J59" s="163">
        <v>2968.03</v>
      </c>
      <c r="L59" s="142" t="s">
        <v>263</v>
      </c>
      <c r="M59" s="107">
        <f>+'10.1.22 - 12.31.22 GL'!I54</f>
        <v>2266.67</v>
      </c>
    </row>
    <row r="60" spans="1:13" ht="14.4">
      <c r="A60" s="161" t="s">
        <v>149</v>
      </c>
      <c r="B60" s="159"/>
      <c r="C60" s="159"/>
      <c r="D60" s="159"/>
      <c r="E60" s="159"/>
      <c r="F60" s="159"/>
      <c r="G60" s="159"/>
      <c r="H60" s="159"/>
      <c r="I60" s="165">
        <v>2968.03</v>
      </c>
      <c r="J60" s="159"/>
      <c r="L60" s="142" t="s">
        <v>265</v>
      </c>
      <c r="M60" s="167">
        <f>SUM(M58:M59)</f>
        <v>5234.7000000000007</v>
      </c>
    </row>
    <row r="61" spans="1:13" ht="14.4">
      <c r="A61" s="161" t="s">
        <v>150</v>
      </c>
      <c r="B61" s="159"/>
      <c r="C61" s="159"/>
      <c r="D61" s="159"/>
      <c r="E61" s="159"/>
      <c r="F61" s="159"/>
      <c r="G61" s="159"/>
      <c r="H61" s="159"/>
      <c r="I61" s="159"/>
      <c r="J61" s="159"/>
    </row>
    <row r="62" spans="1:13" ht="14.4">
      <c r="A62" s="159"/>
      <c r="B62" s="162" t="s">
        <v>208</v>
      </c>
      <c r="C62" s="162" t="s">
        <v>50</v>
      </c>
      <c r="D62" s="162">
        <v>3380</v>
      </c>
      <c r="E62" s="162" t="s">
        <v>91</v>
      </c>
      <c r="F62" s="162" t="s">
        <v>54</v>
      </c>
      <c r="G62" s="162"/>
      <c r="H62" s="162" t="s">
        <v>51</v>
      </c>
      <c r="I62" s="163">
        <v>2666</v>
      </c>
      <c r="J62" s="163">
        <v>2666</v>
      </c>
    </row>
    <row r="63" spans="1:13" ht="14.4">
      <c r="A63" s="159"/>
      <c r="B63" s="162" t="s">
        <v>213</v>
      </c>
      <c r="C63" s="162" t="s">
        <v>50</v>
      </c>
      <c r="D63" s="162">
        <v>3385</v>
      </c>
      <c r="E63" s="162" t="s">
        <v>91</v>
      </c>
      <c r="F63" s="162" t="s">
        <v>54</v>
      </c>
      <c r="G63" s="162"/>
      <c r="H63" s="162" t="s">
        <v>51</v>
      </c>
      <c r="I63" s="163">
        <v>3750</v>
      </c>
      <c r="J63" s="163">
        <v>6416</v>
      </c>
    </row>
    <row r="64" spans="1:13" ht="14.4">
      <c r="A64" s="159"/>
      <c r="B64" s="162" t="s">
        <v>215</v>
      </c>
      <c r="C64" s="162" t="s">
        <v>50</v>
      </c>
      <c r="D64" s="162">
        <v>3387</v>
      </c>
      <c r="E64" s="162" t="s">
        <v>91</v>
      </c>
      <c r="F64" s="162" t="s">
        <v>54</v>
      </c>
      <c r="G64" s="162"/>
      <c r="H64" s="162" t="s">
        <v>51</v>
      </c>
      <c r="I64" s="163">
        <v>3750</v>
      </c>
      <c r="J64" s="163">
        <v>10166</v>
      </c>
    </row>
    <row r="65" spans="1:13" ht="14.4">
      <c r="A65" s="159"/>
      <c r="B65" s="162" t="s">
        <v>217</v>
      </c>
      <c r="C65" s="162" t="s">
        <v>50</v>
      </c>
      <c r="D65" s="162">
        <v>3388</v>
      </c>
      <c r="E65" s="162" t="s">
        <v>91</v>
      </c>
      <c r="F65" s="162" t="s">
        <v>54</v>
      </c>
      <c r="G65" s="162"/>
      <c r="H65" s="162" t="s">
        <v>51</v>
      </c>
      <c r="I65" s="163">
        <v>3750</v>
      </c>
      <c r="J65" s="163">
        <v>13916</v>
      </c>
    </row>
    <row r="66" spans="1:13" ht="14.4">
      <c r="A66" s="159"/>
      <c r="B66" s="162" t="s">
        <v>219</v>
      </c>
      <c r="C66" s="162" t="s">
        <v>50</v>
      </c>
      <c r="D66" s="162">
        <v>3390</v>
      </c>
      <c r="E66" s="162" t="s">
        <v>91</v>
      </c>
      <c r="F66" s="162" t="s">
        <v>54</v>
      </c>
      <c r="G66" s="162"/>
      <c r="H66" s="162" t="s">
        <v>51</v>
      </c>
      <c r="I66" s="163">
        <v>3750</v>
      </c>
      <c r="J66" s="163">
        <v>17666</v>
      </c>
    </row>
    <row r="67" spans="1:13" ht="14.4">
      <c r="A67" s="159"/>
      <c r="B67" s="162" t="s">
        <v>221</v>
      </c>
      <c r="C67" s="162" t="s">
        <v>50</v>
      </c>
      <c r="D67" s="162">
        <v>3393</v>
      </c>
      <c r="E67" s="162" t="s">
        <v>91</v>
      </c>
      <c r="F67" s="162" t="s">
        <v>54</v>
      </c>
      <c r="G67" s="162"/>
      <c r="H67" s="162" t="s">
        <v>51</v>
      </c>
      <c r="I67" s="163">
        <v>3750</v>
      </c>
      <c r="J67" s="163">
        <v>21416</v>
      </c>
    </row>
    <row r="68" spans="1:13" ht="14.4">
      <c r="A68" s="159"/>
      <c r="B68" s="162" t="s">
        <v>222</v>
      </c>
      <c r="C68" s="162" t="s">
        <v>50</v>
      </c>
      <c r="D68" s="162">
        <v>3396</v>
      </c>
      <c r="E68" s="162" t="s">
        <v>91</v>
      </c>
      <c r="F68" s="162" t="s">
        <v>54</v>
      </c>
      <c r="G68" s="162"/>
      <c r="H68" s="162" t="s">
        <v>51</v>
      </c>
      <c r="I68" s="163">
        <v>3750</v>
      </c>
      <c r="J68" s="163">
        <v>25166</v>
      </c>
    </row>
    <row r="69" spans="1:13" ht="14.4">
      <c r="A69" s="159"/>
      <c r="B69" s="162" t="s">
        <v>223</v>
      </c>
      <c r="C69" s="162" t="s">
        <v>50</v>
      </c>
      <c r="D69" s="162">
        <v>3399</v>
      </c>
      <c r="E69" s="162" t="s">
        <v>91</v>
      </c>
      <c r="F69" s="162" t="s">
        <v>54</v>
      </c>
      <c r="G69" s="162"/>
      <c r="H69" s="162" t="s">
        <v>51</v>
      </c>
      <c r="I69" s="163">
        <v>3750</v>
      </c>
      <c r="J69" s="163">
        <v>28916</v>
      </c>
      <c r="M69" s="106">
        <f>+I71</f>
        <v>32666</v>
      </c>
    </row>
    <row r="70" spans="1:13" ht="14.4">
      <c r="A70" s="159"/>
      <c r="B70" s="162" t="s">
        <v>227</v>
      </c>
      <c r="C70" s="162" t="s">
        <v>50</v>
      </c>
      <c r="D70" s="162">
        <v>3401</v>
      </c>
      <c r="E70" s="162" t="s">
        <v>91</v>
      </c>
      <c r="F70" s="162" t="s">
        <v>54</v>
      </c>
      <c r="G70" s="162"/>
      <c r="H70" s="162" t="s">
        <v>51</v>
      </c>
      <c r="I70" s="163">
        <v>3750</v>
      </c>
      <c r="J70" s="163">
        <v>32666</v>
      </c>
      <c r="L70" s="142" t="s">
        <v>263</v>
      </c>
      <c r="M70" s="107">
        <f>+'10.1.22 - 12.31.22 GL'!I60</f>
        <v>7998</v>
      </c>
    </row>
    <row r="71" spans="1:13" ht="14.4">
      <c r="A71" s="161" t="s">
        <v>151</v>
      </c>
      <c r="B71" s="159"/>
      <c r="C71" s="159"/>
      <c r="D71" s="159"/>
      <c r="E71" s="159"/>
      <c r="F71" s="159"/>
      <c r="G71" s="159"/>
      <c r="H71" s="159"/>
      <c r="I71" s="165">
        <v>32666</v>
      </c>
      <c r="J71" s="159"/>
      <c r="L71" s="142" t="s">
        <v>266</v>
      </c>
      <c r="M71" s="167">
        <f>SUM(M69:M70)</f>
        <v>40664</v>
      </c>
    </row>
    <row r="72" spans="1:13" ht="14.4">
      <c r="A72" s="161" t="s">
        <v>152</v>
      </c>
      <c r="B72" s="159"/>
      <c r="C72" s="159"/>
      <c r="D72" s="159"/>
      <c r="E72" s="159"/>
      <c r="F72" s="159"/>
      <c r="G72" s="159"/>
      <c r="H72" s="159"/>
      <c r="I72" s="165">
        <v>37519.03</v>
      </c>
      <c r="J72" s="159"/>
    </row>
    <row r="73" spans="1:13" ht="14.4">
      <c r="A73" s="161" t="s">
        <v>120</v>
      </c>
      <c r="B73" s="159"/>
      <c r="C73" s="159"/>
      <c r="D73" s="159"/>
      <c r="E73" s="159"/>
      <c r="F73" s="159"/>
      <c r="G73" s="159"/>
      <c r="H73" s="159"/>
      <c r="I73" s="159"/>
      <c r="J73" s="159"/>
    </row>
    <row r="74" spans="1:13" ht="14.4">
      <c r="A74" s="159"/>
      <c r="B74" s="162" t="s">
        <v>219</v>
      </c>
      <c r="C74" s="162" t="s">
        <v>50</v>
      </c>
      <c r="D74" s="162">
        <v>3392</v>
      </c>
      <c r="E74" s="162" t="s">
        <v>91</v>
      </c>
      <c r="F74" s="162" t="s">
        <v>72</v>
      </c>
      <c r="G74" s="162" t="s">
        <v>238</v>
      </c>
      <c r="H74" s="162" t="s">
        <v>51</v>
      </c>
      <c r="I74" s="163">
        <v>2610</v>
      </c>
      <c r="J74" s="163">
        <v>2610</v>
      </c>
      <c r="L74" s="134" t="s">
        <v>86</v>
      </c>
      <c r="M74" s="167">
        <f>+M56+M60+M71</f>
        <v>50223.7</v>
      </c>
    </row>
    <row r="75" spans="1:13" ht="14.4">
      <c r="A75" s="159"/>
      <c r="B75" s="162" t="s">
        <v>222</v>
      </c>
      <c r="C75" s="162" t="s">
        <v>50</v>
      </c>
      <c r="D75" s="162">
        <v>3397</v>
      </c>
      <c r="E75" s="162" t="s">
        <v>91</v>
      </c>
      <c r="F75" s="162" t="s">
        <v>72</v>
      </c>
      <c r="G75" s="162" t="s">
        <v>239</v>
      </c>
      <c r="H75" s="162" t="s">
        <v>51</v>
      </c>
      <c r="I75" s="163">
        <v>1125</v>
      </c>
      <c r="J75" s="163">
        <v>3735</v>
      </c>
    </row>
    <row r="76" spans="1:13" ht="14.4">
      <c r="A76" s="161" t="s">
        <v>154</v>
      </c>
      <c r="B76" s="159"/>
      <c r="C76" s="159"/>
      <c r="D76" s="159"/>
      <c r="E76" s="159"/>
      <c r="F76" s="159"/>
      <c r="G76" s="159"/>
      <c r="H76" s="159"/>
      <c r="I76" s="165">
        <v>3735</v>
      </c>
      <c r="J76" s="159"/>
    </row>
    <row r="77" spans="1:13" ht="14.4">
      <c r="A77" s="161" t="s">
        <v>107</v>
      </c>
      <c r="B77" s="159"/>
      <c r="C77" s="159"/>
      <c r="D77" s="159"/>
      <c r="E77" s="159"/>
      <c r="F77" s="159"/>
      <c r="G77" s="159"/>
      <c r="H77" s="159"/>
      <c r="I77" s="159"/>
      <c r="J77" s="159"/>
    </row>
    <row r="78" spans="1:13" ht="14.4">
      <c r="A78" s="159"/>
      <c r="B78" s="162" t="s">
        <v>208</v>
      </c>
      <c r="C78" s="162" t="s">
        <v>50</v>
      </c>
      <c r="D78" s="162">
        <v>3383</v>
      </c>
      <c r="E78" s="162" t="s">
        <v>91</v>
      </c>
      <c r="F78" s="162" t="s">
        <v>55</v>
      </c>
      <c r="G78" s="162"/>
      <c r="H78" s="162" t="s">
        <v>51</v>
      </c>
      <c r="I78" s="163">
        <v>2692</v>
      </c>
      <c r="J78" s="163">
        <v>2692</v>
      </c>
    </row>
    <row r="79" spans="1:13" ht="14.4">
      <c r="A79" s="161" t="s">
        <v>155</v>
      </c>
      <c r="B79" s="159"/>
      <c r="C79" s="159"/>
      <c r="D79" s="159"/>
      <c r="E79" s="159"/>
      <c r="F79" s="159"/>
      <c r="G79" s="159"/>
      <c r="H79" s="159"/>
      <c r="I79" s="165">
        <v>2692</v>
      </c>
      <c r="J79" s="159"/>
    </row>
    <row r="80" spans="1:13" ht="14.4">
      <c r="A80" s="161" t="s">
        <v>156</v>
      </c>
      <c r="B80" s="159"/>
      <c r="C80" s="159"/>
      <c r="D80" s="159"/>
      <c r="E80" s="159"/>
      <c r="F80" s="159"/>
      <c r="G80" s="159"/>
      <c r="H80" s="159"/>
      <c r="I80" s="159"/>
      <c r="J80" s="159"/>
    </row>
    <row r="81" spans="1:10" ht="14.4">
      <c r="A81" s="161" t="s">
        <v>157</v>
      </c>
      <c r="B81" s="159"/>
      <c r="C81" s="159"/>
      <c r="D81" s="159"/>
      <c r="E81" s="159"/>
      <c r="F81" s="159"/>
      <c r="G81" s="159"/>
      <c r="H81" s="159"/>
      <c r="I81" s="159"/>
      <c r="J81" s="159"/>
    </row>
    <row r="82" spans="1:10" ht="14.4">
      <c r="A82" s="159"/>
      <c r="B82" s="162" t="s">
        <v>208</v>
      </c>
      <c r="C82" s="162" t="s">
        <v>50</v>
      </c>
      <c r="D82" s="162">
        <v>3382</v>
      </c>
      <c r="E82" s="162" t="s">
        <v>91</v>
      </c>
      <c r="F82" s="162" t="s">
        <v>69</v>
      </c>
      <c r="G82" s="162" t="s">
        <v>212</v>
      </c>
      <c r="H82" s="162" t="s">
        <v>51</v>
      </c>
      <c r="I82" s="163">
        <v>168.4</v>
      </c>
      <c r="J82" s="163">
        <v>168.4</v>
      </c>
    </row>
    <row r="83" spans="1:10" ht="14.4">
      <c r="A83" s="159"/>
      <c r="B83" s="162" t="s">
        <v>208</v>
      </c>
      <c r="C83" s="162" t="s">
        <v>50</v>
      </c>
      <c r="D83" s="162">
        <v>3380</v>
      </c>
      <c r="E83" s="162" t="s">
        <v>91</v>
      </c>
      <c r="F83" s="162" t="s">
        <v>54</v>
      </c>
      <c r="G83" s="162" t="s">
        <v>57</v>
      </c>
      <c r="H83" s="162" t="s">
        <v>51</v>
      </c>
      <c r="I83" s="163">
        <v>9.99</v>
      </c>
      <c r="J83" s="163">
        <v>178.39</v>
      </c>
    </row>
    <row r="84" spans="1:10" ht="14.4">
      <c r="A84" s="159"/>
      <c r="B84" s="162" t="s">
        <v>208</v>
      </c>
      <c r="C84" s="162" t="s">
        <v>50</v>
      </c>
      <c r="D84" s="162">
        <v>3380</v>
      </c>
      <c r="E84" s="162" t="s">
        <v>91</v>
      </c>
      <c r="F84" s="162" t="s">
        <v>54</v>
      </c>
      <c r="G84" s="162" t="s">
        <v>56</v>
      </c>
      <c r="H84" s="162" t="s">
        <v>51</v>
      </c>
      <c r="I84" s="163">
        <v>15.48</v>
      </c>
      <c r="J84" s="163">
        <v>193.87</v>
      </c>
    </row>
    <row r="85" spans="1:10" ht="14.4">
      <c r="A85" s="159"/>
      <c r="B85" s="162" t="s">
        <v>213</v>
      </c>
      <c r="C85" s="162" t="s">
        <v>50</v>
      </c>
      <c r="D85" s="162">
        <v>3385</v>
      </c>
      <c r="E85" s="162" t="s">
        <v>91</v>
      </c>
      <c r="F85" s="162" t="s">
        <v>54</v>
      </c>
      <c r="G85" s="162" t="s">
        <v>56</v>
      </c>
      <c r="H85" s="162" t="s">
        <v>51</v>
      </c>
      <c r="I85" s="163">
        <v>15.48</v>
      </c>
      <c r="J85" s="163">
        <v>209.35</v>
      </c>
    </row>
    <row r="86" spans="1:10" ht="14.4">
      <c r="A86" s="159"/>
      <c r="B86" s="162" t="s">
        <v>213</v>
      </c>
      <c r="C86" s="162" t="s">
        <v>50</v>
      </c>
      <c r="D86" s="162">
        <v>3385</v>
      </c>
      <c r="E86" s="162" t="s">
        <v>91</v>
      </c>
      <c r="F86" s="162" t="s">
        <v>54</v>
      </c>
      <c r="G86" s="162" t="s">
        <v>57</v>
      </c>
      <c r="H86" s="162" t="s">
        <v>51</v>
      </c>
      <c r="I86" s="163">
        <v>9.99</v>
      </c>
      <c r="J86" s="163">
        <v>219.34</v>
      </c>
    </row>
    <row r="87" spans="1:10" ht="14.4">
      <c r="A87" s="159"/>
      <c r="B87" s="162" t="s">
        <v>215</v>
      </c>
      <c r="C87" s="162" t="s">
        <v>50</v>
      </c>
      <c r="D87" s="162">
        <v>3387</v>
      </c>
      <c r="E87" s="162" t="s">
        <v>91</v>
      </c>
      <c r="F87" s="162" t="s">
        <v>54</v>
      </c>
      <c r="G87" s="162" t="s">
        <v>57</v>
      </c>
      <c r="H87" s="162" t="s">
        <v>51</v>
      </c>
      <c r="I87" s="163">
        <v>9.99</v>
      </c>
      <c r="J87" s="163">
        <v>229.33</v>
      </c>
    </row>
    <row r="88" spans="1:10" ht="14.4">
      <c r="A88" s="159"/>
      <c r="B88" s="162" t="s">
        <v>215</v>
      </c>
      <c r="C88" s="162" t="s">
        <v>50</v>
      </c>
      <c r="D88" s="162">
        <v>3387</v>
      </c>
      <c r="E88" s="162" t="s">
        <v>91</v>
      </c>
      <c r="F88" s="162" t="s">
        <v>54</v>
      </c>
      <c r="G88" s="162" t="s">
        <v>56</v>
      </c>
      <c r="H88" s="162" t="s">
        <v>51</v>
      </c>
      <c r="I88" s="163">
        <v>15.48</v>
      </c>
      <c r="J88" s="163">
        <v>244.81</v>
      </c>
    </row>
    <row r="89" spans="1:10" ht="14.4">
      <c r="A89" s="159"/>
      <c r="B89" s="162" t="s">
        <v>217</v>
      </c>
      <c r="C89" s="162" t="s">
        <v>50</v>
      </c>
      <c r="D89" s="162">
        <v>3388</v>
      </c>
      <c r="E89" s="162" t="s">
        <v>91</v>
      </c>
      <c r="F89" s="162" t="s">
        <v>54</v>
      </c>
      <c r="G89" s="162" t="s">
        <v>56</v>
      </c>
      <c r="H89" s="162" t="s">
        <v>51</v>
      </c>
      <c r="I89" s="163">
        <v>15.48</v>
      </c>
      <c r="J89" s="163">
        <v>260.29000000000002</v>
      </c>
    </row>
    <row r="90" spans="1:10" ht="14.4">
      <c r="A90" s="159"/>
      <c r="B90" s="162" t="s">
        <v>217</v>
      </c>
      <c r="C90" s="162" t="s">
        <v>50</v>
      </c>
      <c r="D90" s="162">
        <v>3388</v>
      </c>
      <c r="E90" s="162" t="s">
        <v>91</v>
      </c>
      <c r="F90" s="162" t="s">
        <v>54</v>
      </c>
      <c r="G90" s="162" t="s">
        <v>57</v>
      </c>
      <c r="H90" s="162" t="s">
        <v>51</v>
      </c>
      <c r="I90" s="163">
        <v>9.99</v>
      </c>
      <c r="J90" s="163">
        <v>270.27999999999997</v>
      </c>
    </row>
    <row r="91" spans="1:10" ht="14.4">
      <c r="A91" s="159"/>
      <c r="B91" s="162" t="s">
        <v>219</v>
      </c>
      <c r="C91" s="162" t="s">
        <v>50</v>
      </c>
      <c r="D91" s="162">
        <v>3390</v>
      </c>
      <c r="E91" s="162" t="s">
        <v>91</v>
      </c>
      <c r="F91" s="162" t="s">
        <v>54</v>
      </c>
      <c r="G91" s="162" t="s">
        <v>56</v>
      </c>
      <c r="H91" s="162" t="s">
        <v>51</v>
      </c>
      <c r="I91" s="163">
        <v>15.48</v>
      </c>
      <c r="J91" s="163">
        <v>285.76</v>
      </c>
    </row>
    <row r="92" spans="1:10" ht="14.4">
      <c r="A92" s="159"/>
      <c r="B92" s="162" t="s">
        <v>219</v>
      </c>
      <c r="C92" s="162" t="s">
        <v>50</v>
      </c>
      <c r="D92" s="162">
        <v>3390</v>
      </c>
      <c r="E92" s="162" t="s">
        <v>91</v>
      </c>
      <c r="F92" s="162" t="s">
        <v>54</v>
      </c>
      <c r="G92" s="162" t="s">
        <v>57</v>
      </c>
      <c r="H92" s="162" t="s">
        <v>51</v>
      </c>
      <c r="I92" s="163">
        <v>9.99</v>
      </c>
      <c r="J92" s="163">
        <v>295.75</v>
      </c>
    </row>
    <row r="93" spans="1:10" ht="14.4">
      <c r="A93" s="159"/>
      <c r="B93" s="162" t="s">
        <v>221</v>
      </c>
      <c r="C93" s="162" t="s">
        <v>50</v>
      </c>
      <c r="D93" s="162">
        <v>3393</v>
      </c>
      <c r="E93" s="162" t="s">
        <v>91</v>
      </c>
      <c r="F93" s="162" t="s">
        <v>54</v>
      </c>
      <c r="G93" s="162" t="s">
        <v>57</v>
      </c>
      <c r="H93" s="162" t="s">
        <v>51</v>
      </c>
      <c r="I93" s="163">
        <v>9.99</v>
      </c>
      <c r="J93" s="163">
        <v>305.74</v>
      </c>
    </row>
    <row r="94" spans="1:10" ht="14.4">
      <c r="A94" s="159"/>
      <c r="B94" s="162" t="s">
        <v>221</v>
      </c>
      <c r="C94" s="162" t="s">
        <v>50</v>
      </c>
      <c r="D94" s="162">
        <v>3393</v>
      </c>
      <c r="E94" s="162" t="s">
        <v>91</v>
      </c>
      <c r="F94" s="162" t="s">
        <v>54</v>
      </c>
      <c r="G94" s="162" t="s">
        <v>56</v>
      </c>
      <c r="H94" s="162" t="s">
        <v>51</v>
      </c>
      <c r="I94" s="163">
        <v>15.48</v>
      </c>
      <c r="J94" s="163">
        <v>321.22000000000003</v>
      </c>
    </row>
    <row r="95" spans="1:10" ht="14.4">
      <c r="A95" s="159"/>
      <c r="B95" s="162" t="s">
        <v>222</v>
      </c>
      <c r="C95" s="162" t="s">
        <v>50</v>
      </c>
      <c r="D95" s="162">
        <v>3396</v>
      </c>
      <c r="E95" s="162" t="s">
        <v>91</v>
      </c>
      <c r="F95" s="162" t="s">
        <v>54</v>
      </c>
      <c r="G95" s="162" t="s">
        <v>57</v>
      </c>
      <c r="H95" s="162" t="s">
        <v>51</v>
      </c>
      <c r="I95" s="163">
        <v>9.99</v>
      </c>
      <c r="J95" s="163">
        <v>331.21</v>
      </c>
    </row>
    <row r="96" spans="1:10" ht="14.4">
      <c r="A96" s="159"/>
      <c r="B96" s="162" t="s">
        <v>222</v>
      </c>
      <c r="C96" s="162" t="s">
        <v>50</v>
      </c>
      <c r="D96" s="162">
        <v>3396</v>
      </c>
      <c r="E96" s="162" t="s">
        <v>91</v>
      </c>
      <c r="F96" s="162" t="s">
        <v>54</v>
      </c>
      <c r="G96" s="162" t="s">
        <v>56</v>
      </c>
      <c r="H96" s="162" t="s">
        <v>51</v>
      </c>
      <c r="I96" s="163">
        <v>15.48</v>
      </c>
      <c r="J96" s="163">
        <v>346.69</v>
      </c>
    </row>
    <row r="97" spans="1:13" ht="14.4">
      <c r="A97" s="159"/>
      <c r="B97" s="162" t="s">
        <v>223</v>
      </c>
      <c r="C97" s="162" t="s">
        <v>50</v>
      </c>
      <c r="D97" s="162">
        <v>3399</v>
      </c>
      <c r="E97" s="162" t="s">
        <v>91</v>
      </c>
      <c r="F97" s="162" t="s">
        <v>54</v>
      </c>
      <c r="G97" s="162" t="s">
        <v>56</v>
      </c>
      <c r="H97" s="162" t="s">
        <v>51</v>
      </c>
      <c r="I97" s="163">
        <v>15.5</v>
      </c>
      <c r="J97" s="163">
        <v>362.19</v>
      </c>
    </row>
    <row r="98" spans="1:13" ht="14.4">
      <c r="A98" s="159"/>
      <c r="B98" s="162" t="s">
        <v>223</v>
      </c>
      <c r="C98" s="162" t="s">
        <v>50</v>
      </c>
      <c r="D98" s="162">
        <v>3399</v>
      </c>
      <c r="E98" s="162" t="s">
        <v>91</v>
      </c>
      <c r="F98" s="162" t="s">
        <v>54</v>
      </c>
      <c r="G98" s="162" t="s">
        <v>240</v>
      </c>
      <c r="H98" s="162" t="s">
        <v>51</v>
      </c>
      <c r="I98" s="163">
        <v>59.99</v>
      </c>
      <c r="J98" s="163">
        <v>422.18</v>
      </c>
    </row>
    <row r="99" spans="1:13" ht="14.4">
      <c r="A99" s="159"/>
      <c r="B99" s="162" t="s">
        <v>223</v>
      </c>
      <c r="C99" s="162" t="s">
        <v>50</v>
      </c>
      <c r="D99" s="162">
        <v>3399</v>
      </c>
      <c r="E99" s="162" t="s">
        <v>91</v>
      </c>
      <c r="F99" s="162" t="s">
        <v>54</v>
      </c>
      <c r="G99" s="162" t="s">
        <v>57</v>
      </c>
      <c r="H99" s="162" t="s">
        <v>51</v>
      </c>
      <c r="I99" s="163">
        <v>9.99</v>
      </c>
      <c r="J99" s="163">
        <v>432.17</v>
      </c>
      <c r="M99" s="106">
        <f>+I102</f>
        <v>462.83</v>
      </c>
    </row>
    <row r="100" spans="1:13" ht="14.4">
      <c r="A100" s="159"/>
      <c r="B100" s="162" t="s">
        <v>227</v>
      </c>
      <c r="C100" s="162" t="s">
        <v>50</v>
      </c>
      <c r="D100" s="162">
        <v>3401</v>
      </c>
      <c r="E100" s="162" t="s">
        <v>91</v>
      </c>
      <c r="F100" s="162" t="s">
        <v>54</v>
      </c>
      <c r="G100" s="162" t="s">
        <v>57</v>
      </c>
      <c r="H100" s="162" t="s">
        <v>51</v>
      </c>
      <c r="I100" s="163">
        <v>9.99</v>
      </c>
      <c r="J100" s="163">
        <v>442.16</v>
      </c>
      <c r="L100" s="142" t="s">
        <v>263</v>
      </c>
      <c r="M100" s="107">
        <f>+'10.1.22 - 12.31.22 GL'!I78</f>
        <v>388.41</v>
      </c>
    </row>
    <row r="101" spans="1:13" ht="14.4">
      <c r="A101" s="159"/>
      <c r="B101" s="162" t="s">
        <v>227</v>
      </c>
      <c r="C101" s="162" t="s">
        <v>50</v>
      </c>
      <c r="D101" s="162">
        <v>3401</v>
      </c>
      <c r="E101" s="162" t="s">
        <v>91</v>
      </c>
      <c r="F101" s="162" t="s">
        <v>54</v>
      </c>
      <c r="G101" s="162" t="s">
        <v>56</v>
      </c>
      <c r="H101" s="162" t="s">
        <v>51</v>
      </c>
      <c r="I101" s="163">
        <v>20.67</v>
      </c>
      <c r="J101" s="163">
        <v>462.83</v>
      </c>
      <c r="L101" s="142" t="s">
        <v>193</v>
      </c>
      <c r="M101" s="168">
        <f>SUM(M99:M100)</f>
        <v>851.24</v>
      </c>
    </row>
    <row r="102" spans="1:13" ht="14.4">
      <c r="A102" s="161" t="s">
        <v>158</v>
      </c>
      <c r="B102" s="159"/>
      <c r="C102" s="159"/>
      <c r="D102" s="159"/>
      <c r="E102" s="159"/>
      <c r="F102" s="159"/>
      <c r="G102" s="159"/>
      <c r="H102" s="159"/>
      <c r="I102" s="165">
        <v>462.83</v>
      </c>
      <c r="J102" s="159"/>
    </row>
    <row r="103" spans="1:13" ht="14.4">
      <c r="A103" s="161" t="s">
        <v>159</v>
      </c>
      <c r="B103" s="159"/>
      <c r="C103" s="159"/>
      <c r="D103" s="159"/>
      <c r="E103" s="159"/>
      <c r="F103" s="159"/>
      <c r="G103" s="159"/>
      <c r="H103" s="159"/>
      <c r="I103" s="159"/>
      <c r="J103" s="159"/>
    </row>
    <row r="104" spans="1:13" ht="14.4">
      <c r="A104" s="159"/>
      <c r="B104" s="162" t="s">
        <v>208</v>
      </c>
      <c r="C104" s="162" t="s">
        <v>50</v>
      </c>
      <c r="D104" s="162">
        <v>3381</v>
      </c>
      <c r="E104" s="162" t="s">
        <v>91</v>
      </c>
      <c r="F104" s="162" t="s">
        <v>83</v>
      </c>
      <c r="G104" s="162" t="s">
        <v>84</v>
      </c>
      <c r="H104" s="162" t="s">
        <v>51</v>
      </c>
      <c r="I104" s="163">
        <v>179.4</v>
      </c>
      <c r="J104" s="163">
        <v>179.4</v>
      </c>
      <c r="M104" s="106">
        <f>+I105</f>
        <v>179.4</v>
      </c>
    </row>
    <row r="105" spans="1:13" ht="14.4">
      <c r="A105" s="161" t="s">
        <v>160</v>
      </c>
      <c r="B105" s="159"/>
      <c r="C105" s="159"/>
      <c r="D105" s="159"/>
      <c r="E105" s="159"/>
      <c r="F105" s="159"/>
      <c r="G105" s="159"/>
      <c r="H105" s="159"/>
      <c r="I105" s="165">
        <v>179.4</v>
      </c>
      <c r="J105" s="159"/>
      <c r="L105" s="142" t="s">
        <v>263</v>
      </c>
      <c r="M105" s="107">
        <f>+'10.1.22 - 12.31.22 GL'!I85</f>
        <v>30.8</v>
      </c>
    </row>
    <row r="106" spans="1:13" ht="14.4">
      <c r="A106" s="161" t="s">
        <v>161</v>
      </c>
      <c r="B106" s="159"/>
      <c r="C106" s="159"/>
      <c r="D106" s="159"/>
      <c r="E106" s="159"/>
      <c r="F106" s="159"/>
      <c r="G106" s="159"/>
      <c r="H106" s="159"/>
      <c r="I106" s="165">
        <v>642.23</v>
      </c>
      <c r="J106" s="159"/>
      <c r="L106" s="142" t="s">
        <v>267</v>
      </c>
      <c r="M106" s="168">
        <f>SUM(M104:M105)</f>
        <v>210.20000000000002</v>
      </c>
    </row>
    <row r="107" spans="1:13" ht="14.4">
      <c r="A107" s="161" t="s">
        <v>162</v>
      </c>
      <c r="B107" s="159"/>
      <c r="C107" s="159"/>
      <c r="D107" s="159"/>
      <c r="E107" s="159"/>
      <c r="F107" s="159"/>
      <c r="G107" s="159"/>
      <c r="H107" s="159"/>
      <c r="I107" s="159"/>
      <c r="J107" s="159"/>
    </row>
    <row r="108" spans="1:13" ht="14.4">
      <c r="A108" s="161" t="s">
        <v>163</v>
      </c>
      <c r="B108" s="159"/>
      <c r="C108" s="159"/>
      <c r="D108" s="159"/>
      <c r="E108" s="159"/>
      <c r="F108" s="159"/>
      <c r="G108" s="159"/>
      <c r="H108" s="159"/>
      <c r="I108" s="159"/>
      <c r="J108" s="159"/>
    </row>
    <row r="109" spans="1:13" ht="14.4">
      <c r="A109" s="159"/>
      <c r="B109" s="162" t="s">
        <v>229</v>
      </c>
      <c r="C109" s="162" t="s">
        <v>48</v>
      </c>
      <c r="D109" s="162">
        <v>86</v>
      </c>
      <c r="E109" s="162" t="s">
        <v>91</v>
      </c>
      <c r="F109" s="162"/>
      <c r="G109" s="162"/>
      <c r="H109" s="164" t="s">
        <v>49</v>
      </c>
      <c r="I109" s="163">
        <v>100070.35</v>
      </c>
      <c r="J109" s="163">
        <v>100070.35</v>
      </c>
      <c r="L109" s="134" t="s">
        <v>200</v>
      </c>
      <c r="M109" s="168">
        <f>+M101+M106</f>
        <v>1061.44</v>
      </c>
    </row>
    <row r="110" spans="1:13" ht="14.4">
      <c r="A110" s="159"/>
      <c r="B110" s="162" t="s">
        <v>230</v>
      </c>
      <c r="C110" s="162" t="s">
        <v>48</v>
      </c>
      <c r="D110" s="162">
        <v>87</v>
      </c>
      <c r="E110" s="162" t="s">
        <v>91</v>
      </c>
      <c r="F110" s="162"/>
      <c r="G110" s="162"/>
      <c r="H110" s="164" t="s">
        <v>49</v>
      </c>
      <c r="I110" s="163">
        <v>-47664.23</v>
      </c>
      <c r="J110" s="163">
        <v>52406.12</v>
      </c>
    </row>
    <row r="111" spans="1:13" ht="14.4">
      <c r="A111" s="159"/>
      <c r="B111" s="162" t="s">
        <v>231</v>
      </c>
      <c r="C111" s="162" t="s">
        <v>48</v>
      </c>
      <c r="D111" s="162">
        <v>88</v>
      </c>
      <c r="E111" s="162" t="s">
        <v>91</v>
      </c>
      <c r="F111" s="162"/>
      <c r="G111" s="162"/>
      <c r="H111" s="164" t="s">
        <v>49</v>
      </c>
      <c r="I111" s="163">
        <v>73116.14</v>
      </c>
      <c r="J111" s="163">
        <v>125522.26</v>
      </c>
    </row>
    <row r="112" spans="1:13" ht="14.4">
      <c r="A112" s="159"/>
      <c r="B112" s="162" t="s">
        <v>232</v>
      </c>
      <c r="C112" s="162" t="s">
        <v>48</v>
      </c>
      <c r="D112" s="162">
        <v>89</v>
      </c>
      <c r="E112" s="162" t="s">
        <v>91</v>
      </c>
      <c r="F112" s="162"/>
      <c r="G112" s="162"/>
      <c r="H112" s="164" t="s">
        <v>49</v>
      </c>
      <c r="I112" s="163">
        <v>20181.849999999999</v>
      </c>
      <c r="J112" s="163">
        <v>145704.10999999999</v>
      </c>
    </row>
    <row r="113" spans="1:10" ht="14.4">
      <c r="A113" s="159"/>
      <c r="B113" s="162" t="s">
        <v>233</v>
      </c>
      <c r="C113" s="162" t="s">
        <v>48</v>
      </c>
      <c r="D113" s="162">
        <v>90</v>
      </c>
      <c r="E113" s="162" t="s">
        <v>91</v>
      </c>
      <c r="F113" s="162"/>
      <c r="G113" s="162"/>
      <c r="H113" s="164" t="s">
        <v>49</v>
      </c>
      <c r="I113" s="163">
        <v>-12016.62</v>
      </c>
      <c r="J113" s="163">
        <v>133687.49</v>
      </c>
    </row>
    <row r="114" spans="1:10" ht="14.4">
      <c r="A114" s="159"/>
      <c r="B114" s="162" t="s">
        <v>234</v>
      </c>
      <c r="C114" s="162" t="s">
        <v>48</v>
      </c>
      <c r="D114" s="162">
        <v>91</v>
      </c>
      <c r="E114" s="162" t="s">
        <v>91</v>
      </c>
      <c r="F114" s="162"/>
      <c r="G114" s="162"/>
      <c r="H114" s="164" t="s">
        <v>49</v>
      </c>
      <c r="I114" s="163">
        <v>78491.5</v>
      </c>
      <c r="J114" s="163">
        <v>212178.99</v>
      </c>
    </row>
    <row r="115" spans="1:10" ht="14.4">
      <c r="A115" s="159"/>
      <c r="B115" s="162" t="s">
        <v>235</v>
      </c>
      <c r="C115" s="162" t="s">
        <v>48</v>
      </c>
      <c r="D115" s="162">
        <v>92</v>
      </c>
      <c r="E115" s="162" t="s">
        <v>91</v>
      </c>
      <c r="F115" s="162"/>
      <c r="G115" s="162"/>
      <c r="H115" s="164" t="s">
        <v>49</v>
      </c>
      <c r="I115" s="163">
        <v>51946.12</v>
      </c>
      <c r="J115" s="163">
        <v>264125.11</v>
      </c>
    </row>
    <row r="116" spans="1:10" ht="14.4">
      <c r="A116" s="159"/>
      <c r="B116" s="162" t="s">
        <v>224</v>
      </c>
      <c r="C116" s="162" t="s">
        <v>48</v>
      </c>
      <c r="D116" s="162">
        <v>93</v>
      </c>
      <c r="E116" s="162" t="s">
        <v>91</v>
      </c>
      <c r="F116" s="162"/>
      <c r="G116" s="162"/>
      <c r="H116" s="164" t="s">
        <v>49</v>
      </c>
      <c r="I116" s="163">
        <v>-30543.54</v>
      </c>
      <c r="J116" s="163">
        <v>233581.57</v>
      </c>
    </row>
    <row r="117" spans="1:10" ht="14.4">
      <c r="A117" s="161" t="s">
        <v>164</v>
      </c>
      <c r="B117" s="159"/>
      <c r="C117" s="159"/>
      <c r="D117" s="159"/>
      <c r="E117" s="159"/>
      <c r="F117" s="159"/>
      <c r="G117" s="159"/>
      <c r="H117" s="159"/>
      <c r="I117" s="165">
        <v>233581.57</v>
      </c>
      <c r="J117" s="159"/>
    </row>
    <row r="118" spans="1:10" ht="14.4">
      <c r="A118" s="161" t="s">
        <v>165</v>
      </c>
      <c r="B118" s="159"/>
      <c r="C118" s="159"/>
      <c r="D118" s="159"/>
      <c r="E118" s="159"/>
      <c r="F118" s="159"/>
      <c r="G118" s="159"/>
      <c r="H118" s="159"/>
      <c r="I118" s="159"/>
      <c r="J118" s="159"/>
    </row>
    <row r="119" spans="1:10" ht="14.4">
      <c r="A119" s="159"/>
      <c r="B119" s="162" t="s">
        <v>231</v>
      </c>
      <c r="C119" s="162" t="s">
        <v>48</v>
      </c>
      <c r="D119" s="162">
        <v>88</v>
      </c>
      <c r="E119" s="162" t="s">
        <v>91</v>
      </c>
      <c r="F119" s="162"/>
      <c r="G119" s="162"/>
      <c r="H119" s="164" t="s">
        <v>49</v>
      </c>
      <c r="I119" s="163">
        <v>-34438.120000000003</v>
      </c>
      <c r="J119" s="163">
        <v>-34438.120000000003</v>
      </c>
    </row>
    <row r="120" spans="1:10" ht="14.4">
      <c r="A120" s="159"/>
      <c r="B120" s="162" t="s">
        <v>233</v>
      </c>
      <c r="C120" s="162" t="s">
        <v>48</v>
      </c>
      <c r="D120" s="162">
        <v>90</v>
      </c>
      <c r="E120" s="162" t="s">
        <v>91</v>
      </c>
      <c r="F120" s="162"/>
      <c r="G120" s="162"/>
      <c r="H120" s="164" t="s">
        <v>49</v>
      </c>
      <c r="I120" s="163">
        <v>-74.180000000000007</v>
      </c>
      <c r="J120" s="163">
        <v>-34512.300000000003</v>
      </c>
    </row>
    <row r="121" spans="1:10" ht="14.4">
      <c r="A121" s="159"/>
      <c r="B121" s="162" t="s">
        <v>234</v>
      </c>
      <c r="C121" s="162" t="s">
        <v>48</v>
      </c>
      <c r="D121" s="162">
        <v>91</v>
      </c>
      <c r="E121" s="162" t="s">
        <v>91</v>
      </c>
      <c r="F121" s="162"/>
      <c r="G121" s="162"/>
      <c r="H121" s="164" t="s">
        <v>49</v>
      </c>
      <c r="I121" s="163">
        <v>-6064.05</v>
      </c>
      <c r="J121" s="163">
        <v>-40576.35</v>
      </c>
    </row>
    <row r="122" spans="1:10" ht="14.4">
      <c r="A122" s="159"/>
      <c r="B122" s="162" t="s">
        <v>224</v>
      </c>
      <c r="C122" s="162" t="s">
        <v>48</v>
      </c>
      <c r="D122" s="162">
        <v>93</v>
      </c>
      <c r="E122" s="162" t="s">
        <v>91</v>
      </c>
      <c r="F122" s="162"/>
      <c r="G122" s="162"/>
      <c r="H122" s="164" t="s">
        <v>49</v>
      </c>
      <c r="I122" s="163">
        <v>-3634.53</v>
      </c>
      <c r="J122" s="163">
        <v>-44210.879999999997</v>
      </c>
    </row>
    <row r="123" spans="1:10" ht="14.4">
      <c r="A123" s="161" t="s">
        <v>166</v>
      </c>
      <c r="B123" s="159"/>
      <c r="C123" s="159"/>
      <c r="D123" s="159"/>
      <c r="E123" s="159"/>
      <c r="F123" s="159"/>
      <c r="G123" s="159"/>
      <c r="H123" s="159"/>
      <c r="I123" s="169">
        <v>-44210.879999999997</v>
      </c>
      <c r="J123" s="159"/>
    </row>
    <row r="124" spans="1:10" ht="14.4">
      <c r="A124" s="161" t="s">
        <v>167</v>
      </c>
      <c r="B124" s="159"/>
      <c r="C124" s="159"/>
      <c r="D124" s="159"/>
      <c r="E124" s="159"/>
      <c r="F124" s="159"/>
      <c r="G124" s="159"/>
      <c r="H124" s="159"/>
      <c r="I124" s="159"/>
      <c r="J124" s="159"/>
    </row>
    <row r="125" spans="1:10" ht="14.4">
      <c r="A125" s="159"/>
      <c r="B125" s="162" t="s">
        <v>229</v>
      </c>
      <c r="C125" s="162" t="s">
        <v>48</v>
      </c>
      <c r="D125" s="162">
        <v>86</v>
      </c>
      <c r="E125" s="162" t="s">
        <v>91</v>
      </c>
      <c r="F125" s="162"/>
      <c r="G125" s="162"/>
      <c r="H125" s="164" t="s">
        <v>49</v>
      </c>
      <c r="I125" s="163">
        <v>13.58</v>
      </c>
      <c r="J125" s="163">
        <v>13.58</v>
      </c>
    </row>
    <row r="126" spans="1:10" ht="14.4">
      <c r="A126" s="159"/>
      <c r="B126" s="162" t="s">
        <v>230</v>
      </c>
      <c r="C126" s="162" t="s">
        <v>48</v>
      </c>
      <c r="D126" s="162">
        <v>87</v>
      </c>
      <c r="E126" s="162" t="s">
        <v>91</v>
      </c>
      <c r="F126" s="162"/>
      <c r="G126" s="162"/>
      <c r="H126" s="164" t="s">
        <v>49</v>
      </c>
      <c r="I126" s="163">
        <v>6.85</v>
      </c>
      <c r="J126" s="163">
        <v>20.43</v>
      </c>
    </row>
    <row r="127" spans="1:10" ht="14.4">
      <c r="A127" s="159"/>
      <c r="B127" s="162" t="s">
        <v>231</v>
      </c>
      <c r="C127" s="162" t="s">
        <v>48</v>
      </c>
      <c r="D127" s="162">
        <v>88</v>
      </c>
      <c r="E127" s="162" t="s">
        <v>91</v>
      </c>
      <c r="F127" s="162"/>
      <c r="G127" s="162"/>
      <c r="H127" s="164" t="s">
        <v>49</v>
      </c>
      <c r="I127" s="163">
        <v>2.14</v>
      </c>
      <c r="J127" s="163">
        <v>22.57</v>
      </c>
    </row>
    <row r="128" spans="1:10" ht="14.4">
      <c r="A128" s="159"/>
      <c r="B128" s="162" t="s">
        <v>232</v>
      </c>
      <c r="C128" s="162" t="s">
        <v>48</v>
      </c>
      <c r="D128" s="162">
        <v>89</v>
      </c>
      <c r="E128" s="162" t="s">
        <v>91</v>
      </c>
      <c r="F128" s="162"/>
      <c r="G128" s="162"/>
      <c r="H128" s="164" t="s">
        <v>49</v>
      </c>
      <c r="I128" s="163">
        <v>2.09</v>
      </c>
      <c r="J128" s="163">
        <v>24.66</v>
      </c>
    </row>
    <row r="129" spans="1:13" ht="14.4">
      <c r="A129" s="159"/>
      <c r="B129" s="162" t="s">
        <v>233</v>
      </c>
      <c r="C129" s="162" t="s">
        <v>48</v>
      </c>
      <c r="D129" s="162">
        <v>90</v>
      </c>
      <c r="E129" s="162" t="s">
        <v>91</v>
      </c>
      <c r="F129" s="162"/>
      <c r="G129" s="162"/>
      <c r="H129" s="164" t="s">
        <v>49</v>
      </c>
      <c r="I129" s="163">
        <v>2.25</v>
      </c>
      <c r="J129" s="163">
        <v>26.91</v>
      </c>
    </row>
    <row r="130" spans="1:13" ht="14.4">
      <c r="A130" s="159"/>
      <c r="B130" s="162" t="s">
        <v>234</v>
      </c>
      <c r="C130" s="162" t="s">
        <v>48</v>
      </c>
      <c r="D130" s="162">
        <v>91</v>
      </c>
      <c r="E130" s="162" t="s">
        <v>91</v>
      </c>
      <c r="F130" s="162"/>
      <c r="G130" s="162"/>
      <c r="H130" s="164" t="s">
        <v>49</v>
      </c>
      <c r="I130" s="163">
        <v>2.41</v>
      </c>
      <c r="J130" s="163">
        <v>29.32</v>
      </c>
    </row>
    <row r="131" spans="1:13" ht="14.4">
      <c r="A131" s="159"/>
      <c r="B131" s="162" t="s">
        <v>235</v>
      </c>
      <c r="C131" s="162" t="s">
        <v>48</v>
      </c>
      <c r="D131" s="162">
        <v>92</v>
      </c>
      <c r="E131" s="162" t="s">
        <v>91</v>
      </c>
      <c r="F131" s="162"/>
      <c r="G131" s="162"/>
      <c r="H131" s="164" t="s">
        <v>49</v>
      </c>
      <c r="I131" s="163">
        <v>0.96</v>
      </c>
      <c r="J131" s="163">
        <v>30.28</v>
      </c>
    </row>
    <row r="132" spans="1:13" ht="14.4">
      <c r="A132" s="159"/>
      <c r="B132" s="162" t="s">
        <v>224</v>
      </c>
      <c r="C132" s="162" t="s">
        <v>48</v>
      </c>
      <c r="D132" s="162">
        <v>93</v>
      </c>
      <c r="E132" s="162" t="s">
        <v>91</v>
      </c>
      <c r="F132" s="162"/>
      <c r="G132" s="162"/>
      <c r="H132" s="164" t="s">
        <v>49</v>
      </c>
      <c r="I132" s="163">
        <v>2.09</v>
      </c>
      <c r="J132" s="163">
        <v>32.369999999999997</v>
      </c>
    </row>
    <row r="133" spans="1:13" ht="14.4">
      <c r="A133" s="161" t="s">
        <v>168</v>
      </c>
      <c r="B133" s="159"/>
      <c r="C133" s="159"/>
      <c r="D133" s="159"/>
      <c r="E133" s="159"/>
      <c r="F133" s="159"/>
      <c r="G133" s="159"/>
      <c r="H133" s="159"/>
      <c r="I133" s="165">
        <v>32.369999999999997</v>
      </c>
      <c r="J133" s="159"/>
      <c r="L133" s="148" t="s">
        <v>70</v>
      </c>
      <c r="M133" s="170">
        <f>(I133/8)*12</f>
        <v>48.554999999999993</v>
      </c>
    </row>
    <row r="134" spans="1:13" ht="14.4">
      <c r="A134" s="161" t="s">
        <v>169</v>
      </c>
      <c r="B134" s="159"/>
      <c r="C134" s="159"/>
      <c r="D134" s="159"/>
      <c r="E134" s="159"/>
      <c r="F134" s="159"/>
      <c r="G134" s="159"/>
      <c r="H134" s="159"/>
      <c r="I134" s="159"/>
      <c r="J134" s="159"/>
    </row>
    <row r="135" spans="1:13" ht="14.4">
      <c r="A135" s="159"/>
      <c r="B135" s="162" t="s">
        <v>229</v>
      </c>
      <c r="C135" s="162" t="s">
        <v>48</v>
      </c>
      <c r="D135" s="162">
        <v>86</v>
      </c>
      <c r="E135" s="162" t="s">
        <v>91</v>
      </c>
      <c r="F135" s="162"/>
      <c r="G135" s="162"/>
      <c r="H135" s="164" t="s">
        <v>49</v>
      </c>
      <c r="I135" s="163">
        <v>468.82</v>
      </c>
      <c r="J135" s="163">
        <v>468.82</v>
      </c>
    </row>
    <row r="136" spans="1:13" ht="14.4">
      <c r="A136" s="159"/>
      <c r="B136" s="162" t="s">
        <v>230</v>
      </c>
      <c r="C136" s="162" t="s">
        <v>48</v>
      </c>
      <c r="D136" s="162">
        <v>87</v>
      </c>
      <c r="E136" s="162" t="s">
        <v>91</v>
      </c>
      <c r="F136" s="162"/>
      <c r="G136" s="162"/>
      <c r="H136" s="164" t="s">
        <v>49</v>
      </c>
      <c r="I136" s="163">
        <v>2592.0100000000002</v>
      </c>
      <c r="J136" s="163">
        <v>3060.83</v>
      </c>
    </row>
    <row r="137" spans="1:13" ht="14.4">
      <c r="A137" s="159"/>
      <c r="B137" s="162" t="s">
        <v>231</v>
      </c>
      <c r="C137" s="162" t="s">
        <v>48</v>
      </c>
      <c r="D137" s="162">
        <v>88</v>
      </c>
      <c r="E137" s="162" t="s">
        <v>91</v>
      </c>
      <c r="F137" s="162"/>
      <c r="G137" s="162"/>
      <c r="H137" s="164" t="s">
        <v>49</v>
      </c>
      <c r="I137" s="163">
        <v>6738.22</v>
      </c>
      <c r="J137" s="163">
        <v>9799.0499999999993</v>
      </c>
    </row>
    <row r="138" spans="1:13" ht="14.4">
      <c r="A138" s="159"/>
      <c r="B138" s="162" t="s">
        <v>232</v>
      </c>
      <c r="C138" s="162" t="s">
        <v>48</v>
      </c>
      <c r="D138" s="162">
        <v>89</v>
      </c>
      <c r="E138" s="162" t="s">
        <v>91</v>
      </c>
      <c r="F138" s="162"/>
      <c r="G138" s="162"/>
      <c r="H138" s="164" t="s">
        <v>49</v>
      </c>
      <c r="I138" s="163">
        <v>2767.39</v>
      </c>
      <c r="J138" s="163">
        <v>12566.44</v>
      </c>
    </row>
    <row r="139" spans="1:13" ht="14.4">
      <c r="A139" s="159"/>
      <c r="B139" s="162" t="s">
        <v>233</v>
      </c>
      <c r="C139" s="162" t="s">
        <v>48</v>
      </c>
      <c r="D139" s="162">
        <v>90</v>
      </c>
      <c r="E139" s="162" t="s">
        <v>91</v>
      </c>
      <c r="F139" s="162"/>
      <c r="G139" s="162"/>
      <c r="H139" s="164" t="s">
        <v>49</v>
      </c>
      <c r="I139" s="163">
        <v>3440.56</v>
      </c>
      <c r="J139" s="163">
        <v>16007</v>
      </c>
    </row>
    <row r="140" spans="1:13" ht="14.4">
      <c r="A140" s="159"/>
      <c r="B140" s="162" t="s">
        <v>234</v>
      </c>
      <c r="C140" s="162" t="s">
        <v>48</v>
      </c>
      <c r="D140" s="162">
        <v>91</v>
      </c>
      <c r="E140" s="162" t="s">
        <v>91</v>
      </c>
      <c r="F140" s="162"/>
      <c r="G140" s="162"/>
      <c r="H140" s="164" t="s">
        <v>49</v>
      </c>
      <c r="I140" s="163">
        <v>10535.7</v>
      </c>
      <c r="J140" s="163">
        <v>26542.7</v>
      </c>
    </row>
    <row r="141" spans="1:13" ht="14.4">
      <c r="A141" s="159"/>
      <c r="B141" s="162" t="s">
        <v>235</v>
      </c>
      <c r="C141" s="162" t="s">
        <v>48</v>
      </c>
      <c r="D141" s="162">
        <v>92</v>
      </c>
      <c r="E141" s="162" t="s">
        <v>91</v>
      </c>
      <c r="F141" s="162"/>
      <c r="G141" s="162"/>
      <c r="H141" s="164" t="s">
        <v>49</v>
      </c>
      <c r="I141" s="163">
        <v>3192.91</v>
      </c>
      <c r="J141" s="163">
        <v>29735.61</v>
      </c>
    </row>
    <row r="142" spans="1:13" ht="14.4">
      <c r="A142" s="159"/>
      <c r="B142" s="162" t="s">
        <v>224</v>
      </c>
      <c r="C142" s="162" t="s">
        <v>48</v>
      </c>
      <c r="D142" s="162">
        <v>93</v>
      </c>
      <c r="E142" s="162" t="s">
        <v>91</v>
      </c>
      <c r="F142" s="162"/>
      <c r="G142" s="162"/>
      <c r="H142" s="164" t="s">
        <v>49</v>
      </c>
      <c r="I142" s="163">
        <v>3525.15</v>
      </c>
      <c r="J142" s="163">
        <v>33260.76</v>
      </c>
    </row>
    <row r="143" spans="1:13" ht="14.4">
      <c r="A143" s="161" t="s">
        <v>170</v>
      </c>
      <c r="B143" s="159"/>
      <c r="C143" s="159"/>
      <c r="D143" s="159"/>
      <c r="E143" s="159"/>
      <c r="F143" s="159"/>
      <c r="G143" s="159"/>
      <c r="H143" s="159"/>
      <c r="I143" s="165">
        <v>33260.76</v>
      </c>
      <c r="J143" s="159"/>
      <c r="L143" s="148" t="s">
        <v>70</v>
      </c>
      <c r="M143" s="171">
        <f>(I143/8)*12</f>
        <v>49891.14</v>
      </c>
    </row>
    <row r="144" spans="1:13" ht="14.4">
      <c r="A144" s="161" t="s">
        <v>171</v>
      </c>
      <c r="B144" s="159"/>
      <c r="C144" s="159"/>
      <c r="D144" s="159"/>
      <c r="E144" s="159"/>
      <c r="F144" s="159"/>
      <c r="G144" s="159"/>
      <c r="H144" s="159"/>
      <c r="I144" s="159"/>
      <c r="J144" s="159"/>
      <c r="M144" s="170">
        <f>+I123+M133+M143</f>
        <v>5728.8150000000023</v>
      </c>
    </row>
    <row r="145" spans="1:13" ht="14.4">
      <c r="A145" s="159"/>
      <c r="B145" s="162" t="s">
        <v>229</v>
      </c>
      <c r="C145" s="162" t="s">
        <v>48</v>
      </c>
      <c r="D145" s="162">
        <v>86</v>
      </c>
      <c r="E145" s="162" t="s">
        <v>91</v>
      </c>
      <c r="F145" s="162"/>
      <c r="G145" s="162"/>
      <c r="H145" s="164" t="s">
        <v>49</v>
      </c>
      <c r="I145" s="163">
        <v>-4231.76</v>
      </c>
      <c r="J145" s="163">
        <v>-4231.76</v>
      </c>
    </row>
    <row r="146" spans="1:13" ht="14.4">
      <c r="A146" s="159"/>
      <c r="B146" s="162" t="s">
        <v>232</v>
      </c>
      <c r="C146" s="162" t="s">
        <v>48</v>
      </c>
      <c r="D146" s="162">
        <v>89</v>
      </c>
      <c r="E146" s="162" t="s">
        <v>91</v>
      </c>
      <c r="F146" s="162"/>
      <c r="G146" s="162"/>
      <c r="H146" s="164" t="s">
        <v>49</v>
      </c>
      <c r="I146" s="163">
        <v>-4415.0600000000004</v>
      </c>
      <c r="J146" s="163">
        <v>-8646.82</v>
      </c>
    </row>
    <row r="147" spans="1:13" ht="14.4">
      <c r="A147" s="159"/>
      <c r="B147" s="162" t="s">
        <v>235</v>
      </c>
      <c r="C147" s="162" t="s">
        <v>48</v>
      </c>
      <c r="D147" s="162">
        <v>92</v>
      </c>
      <c r="E147" s="162" t="s">
        <v>91</v>
      </c>
      <c r="F147" s="162"/>
      <c r="G147" s="162"/>
      <c r="H147" s="164" t="s">
        <v>49</v>
      </c>
      <c r="I147" s="163">
        <v>-4613.07</v>
      </c>
      <c r="J147" s="163">
        <v>-13259.89</v>
      </c>
    </row>
    <row r="148" spans="1:13" ht="14.4">
      <c r="A148" s="161" t="s">
        <v>172</v>
      </c>
      <c r="B148" s="159"/>
      <c r="C148" s="159"/>
      <c r="D148" s="159"/>
      <c r="E148" s="159"/>
      <c r="F148" s="159"/>
      <c r="G148" s="159"/>
      <c r="H148" s="159"/>
      <c r="I148" s="165">
        <v>-13259.89</v>
      </c>
      <c r="J148" s="159"/>
      <c r="L148" s="148" t="s">
        <v>70</v>
      </c>
      <c r="M148" s="106">
        <f>(I148/3)*4</f>
        <v>-17679.853333333333</v>
      </c>
    </row>
    <row r="149" spans="1:13" ht="14.4">
      <c r="A149" s="161" t="s">
        <v>173</v>
      </c>
      <c r="B149" s="159"/>
      <c r="C149" s="159"/>
      <c r="D149" s="159"/>
      <c r="E149" s="159"/>
      <c r="F149" s="159"/>
      <c r="G149" s="159"/>
      <c r="H149" s="159"/>
      <c r="I149" s="165">
        <v>209403.93</v>
      </c>
      <c r="J149" s="159"/>
    </row>
    <row r="152" spans="1:13" ht="14.4">
      <c r="A152" s="181" t="s">
        <v>241</v>
      </c>
      <c r="B152" s="182"/>
      <c r="C152" s="182"/>
      <c r="D152" s="182"/>
      <c r="E152" s="182"/>
      <c r="F152" s="182"/>
      <c r="G152" s="182"/>
      <c r="H152" s="182"/>
      <c r="I152" s="182"/>
      <c r="J152" s="182"/>
    </row>
  </sheetData>
  <mergeCells count="4">
    <mergeCell ref="A152:J152"/>
    <mergeCell ref="A1:J1"/>
    <mergeCell ref="A2:J2"/>
    <mergeCell ref="A3:J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7292F2-6F32-4937-BB38-13F39105930C}">
  <dimension ref="A1:J116"/>
  <sheetViews>
    <sheetView topLeftCell="A23" workbookViewId="0">
      <selection activeCell="J43" sqref="J43"/>
    </sheetView>
  </sheetViews>
  <sheetFormatPr defaultRowHeight="13.2"/>
  <cols>
    <col min="1" max="1" width="33.33203125" customWidth="1"/>
    <col min="2" max="3" width="15.109375" bestFit="1" customWidth="1"/>
    <col min="4" max="4" width="4.6640625" bestFit="1" customWidth="1"/>
    <col min="5" max="5" width="3.5546875" bestFit="1" customWidth="1"/>
    <col min="6" max="6" width="26.6640625" bestFit="1" customWidth="1"/>
    <col min="7" max="7" width="26.5546875" bestFit="1" customWidth="1"/>
    <col min="8" max="8" width="36.33203125" bestFit="1" customWidth="1"/>
    <col min="9" max="9" width="10.88671875" bestFit="1" customWidth="1"/>
    <col min="10" max="10" width="11.33203125" bestFit="1" customWidth="1"/>
  </cols>
  <sheetData>
    <row r="1" spans="1:10" ht="17.399999999999999">
      <c r="A1" s="183" t="s">
        <v>39</v>
      </c>
      <c r="B1" s="182"/>
      <c r="C1" s="182"/>
      <c r="D1" s="182"/>
      <c r="E1" s="182"/>
      <c r="F1" s="182"/>
      <c r="G1" s="182"/>
      <c r="H1" s="182"/>
      <c r="I1" s="182"/>
      <c r="J1" s="182"/>
    </row>
    <row r="2" spans="1:10" ht="17.399999999999999">
      <c r="A2" s="183" t="s">
        <v>87</v>
      </c>
      <c r="B2" s="182"/>
      <c r="C2" s="182"/>
      <c r="D2" s="182"/>
      <c r="E2" s="182"/>
      <c r="F2" s="182"/>
      <c r="G2" s="182"/>
      <c r="H2" s="182"/>
      <c r="I2" s="182"/>
      <c r="J2" s="182"/>
    </row>
    <row r="3" spans="1:10" ht="14.4">
      <c r="A3" s="184" t="s">
        <v>242</v>
      </c>
      <c r="B3" s="182"/>
      <c r="C3" s="182"/>
      <c r="D3" s="182"/>
      <c r="E3" s="182"/>
      <c r="F3" s="182"/>
      <c r="G3" s="182"/>
      <c r="H3" s="182"/>
      <c r="I3" s="182"/>
      <c r="J3" s="182"/>
    </row>
    <row r="5" spans="1:10" ht="14.4">
      <c r="A5" s="159"/>
      <c r="B5" s="160" t="s">
        <v>40</v>
      </c>
      <c r="C5" s="160" t="s">
        <v>41</v>
      </c>
      <c r="D5" s="160" t="s">
        <v>42</v>
      </c>
      <c r="E5" s="160" t="s">
        <v>88</v>
      </c>
      <c r="F5" s="160" t="s">
        <v>43</v>
      </c>
      <c r="G5" s="160" t="s">
        <v>44</v>
      </c>
      <c r="H5" s="160" t="s">
        <v>45</v>
      </c>
      <c r="I5" s="160" t="s">
        <v>46</v>
      </c>
      <c r="J5" s="160" t="s">
        <v>47</v>
      </c>
    </row>
    <row r="6" spans="1:10" ht="14.4">
      <c r="A6" s="161" t="s">
        <v>51</v>
      </c>
      <c r="B6" s="159"/>
      <c r="C6" s="159"/>
      <c r="D6" s="159"/>
      <c r="E6" s="159"/>
      <c r="F6" s="159"/>
      <c r="G6" s="159"/>
      <c r="H6" s="159"/>
      <c r="I6" s="159"/>
      <c r="J6" s="159"/>
    </row>
    <row r="7" spans="1:10" ht="14.4">
      <c r="A7" s="159"/>
      <c r="B7" s="162" t="s">
        <v>89</v>
      </c>
      <c r="C7" s="159"/>
      <c r="D7" s="159"/>
      <c r="E7" s="159"/>
      <c r="F7" s="159"/>
      <c r="G7" s="159"/>
      <c r="H7" s="159"/>
      <c r="I7" s="159"/>
      <c r="J7" s="163">
        <v>1637477.28</v>
      </c>
    </row>
    <row r="8" spans="1:10" ht="14.4">
      <c r="A8" s="159"/>
      <c r="B8" s="162" t="s">
        <v>243</v>
      </c>
      <c r="C8" s="162" t="s">
        <v>50</v>
      </c>
      <c r="D8" s="162">
        <v>3374</v>
      </c>
      <c r="E8" s="162" t="s">
        <v>91</v>
      </c>
      <c r="F8" s="162" t="s">
        <v>178</v>
      </c>
      <c r="G8" s="162" t="s">
        <v>244</v>
      </c>
      <c r="H8" s="162" t="s">
        <v>95</v>
      </c>
      <c r="I8" s="163">
        <v>-312</v>
      </c>
      <c r="J8" s="163">
        <v>1637165.28</v>
      </c>
    </row>
    <row r="9" spans="1:10" ht="14.4">
      <c r="A9" s="159"/>
      <c r="B9" s="162" t="s">
        <v>243</v>
      </c>
      <c r="C9" s="162" t="s">
        <v>50</v>
      </c>
      <c r="D9" s="162">
        <v>3371</v>
      </c>
      <c r="E9" s="162" t="s">
        <v>91</v>
      </c>
      <c r="F9" s="162" t="s">
        <v>54</v>
      </c>
      <c r="G9" s="162" t="s">
        <v>209</v>
      </c>
      <c r="H9" s="164" t="s">
        <v>49</v>
      </c>
      <c r="I9" s="163">
        <v>-2691.47</v>
      </c>
      <c r="J9" s="163">
        <v>1634473.81</v>
      </c>
    </row>
    <row r="10" spans="1:10" ht="14.4">
      <c r="A10" s="159"/>
      <c r="B10" s="162" t="s">
        <v>243</v>
      </c>
      <c r="C10" s="162" t="s">
        <v>50</v>
      </c>
      <c r="D10" s="162">
        <v>3373</v>
      </c>
      <c r="E10" s="162" t="s">
        <v>91</v>
      </c>
      <c r="F10" s="162" t="s">
        <v>53</v>
      </c>
      <c r="G10" s="162" t="s">
        <v>117</v>
      </c>
      <c r="H10" s="162" t="s">
        <v>96</v>
      </c>
      <c r="I10" s="163">
        <v>-1284.6300000000001</v>
      </c>
      <c r="J10" s="163">
        <v>1633189.18</v>
      </c>
    </row>
    <row r="11" spans="1:10" ht="14.4">
      <c r="A11" s="159"/>
      <c r="B11" s="162" t="s">
        <v>243</v>
      </c>
      <c r="C11" s="162" t="s">
        <v>50</v>
      </c>
      <c r="D11" s="162">
        <v>3372</v>
      </c>
      <c r="E11" s="162" t="s">
        <v>91</v>
      </c>
      <c r="F11" s="162" t="s">
        <v>52</v>
      </c>
      <c r="G11" s="162" t="s">
        <v>245</v>
      </c>
      <c r="H11" s="162" t="s">
        <v>105</v>
      </c>
      <c r="I11" s="163">
        <v>-600</v>
      </c>
      <c r="J11" s="163">
        <v>1632589.18</v>
      </c>
    </row>
    <row r="12" spans="1:10" ht="14.4">
      <c r="A12" s="159"/>
      <c r="B12" s="162" t="s">
        <v>246</v>
      </c>
      <c r="C12" s="162" t="s">
        <v>50</v>
      </c>
      <c r="D12" s="162">
        <v>3376</v>
      </c>
      <c r="E12" s="162" t="s">
        <v>91</v>
      </c>
      <c r="F12" s="162" t="s">
        <v>52</v>
      </c>
      <c r="G12" s="162" t="s">
        <v>247</v>
      </c>
      <c r="H12" s="162" t="s">
        <v>105</v>
      </c>
      <c r="I12" s="163">
        <v>-300</v>
      </c>
      <c r="J12" s="163">
        <v>1632289.18</v>
      </c>
    </row>
    <row r="13" spans="1:10" ht="14.4">
      <c r="A13" s="159"/>
      <c r="B13" s="162" t="s">
        <v>246</v>
      </c>
      <c r="C13" s="162" t="s">
        <v>50</v>
      </c>
      <c r="D13" s="162">
        <v>3375</v>
      </c>
      <c r="E13" s="162" t="s">
        <v>91</v>
      </c>
      <c r="F13" s="162" t="s">
        <v>54</v>
      </c>
      <c r="G13" s="162" t="s">
        <v>209</v>
      </c>
      <c r="H13" s="164" t="s">
        <v>49</v>
      </c>
      <c r="I13" s="163">
        <v>-2722.27</v>
      </c>
      <c r="J13" s="163">
        <v>1629566.91</v>
      </c>
    </row>
    <row r="14" spans="1:10" ht="14.4">
      <c r="A14" s="159"/>
      <c r="B14" s="162" t="s">
        <v>248</v>
      </c>
      <c r="C14" s="162" t="s">
        <v>50</v>
      </c>
      <c r="D14" s="162">
        <v>3379</v>
      </c>
      <c r="E14" s="162" t="s">
        <v>91</v>
      </c>
      <c r="F14" s="162" t="s">
        <v>53</v>
      </c>
      <c r="G14" s="162" t="s">
        <v>218</v>
      </c>
      <c r="H14" s="162" t="s">
        <v>96</v>
      </c>
      <c r="I14" s="163">
        <v>-982.04</v>
      </c>
      <c r="J14" s="163">
        <v>1628584.87</v>
      </c>
    </row>
    <row r="15" spans="1:10" ht="14.4">
      <c r="A15" s="159"/>
      <c r="B15" s="162" t="s">
        <v>248</v>
      </c>
      <c r="C15" s="162" t="s">
        <v>50</v>
      </c>
      <c r="D15" s="162">
        <v>3378</v>
      </c>
      <c r="E15" s="162" t="s">
        <v>91</v>
      </c>
      <c r="F15" s="162" t="s">
        <v>52</v>
      </c>
      <c r="G15" s="162" t="s">
        <v>249</v>
      </c>
      <c r="H15" s="162" t="s">
        <v>105</v>
      </c>
      <c r="I15" s="163">
        <v>-1540</v>
      </c>
      <c r="J15" s="163">
        <v>1627044.87</v>
      </c>
    </row>
    <row r="16" spans="1:10" ht="14.4">
      <c r="A16" s="159"/>
      <c r="B16" s="162" t="s">
        <v>248</v>
      </c>
      <c r="C16" s="162" t="s">
        <v>50</v>
      </c>
      <c r="D16" s="162">
        <v>3377</v>
      </c>
      <c r="E16" s="162" t="s">
        <v>91</v>
      </c>
      <c r="F16" s="162" t="s">
        <v>54</v>
      </c>
      <c r="G16" s="162" t="s">
        <v>209</v>
      </c>
      <c r="H16" s="164" t="s">
        <v>49</v>
      </c>
      <c r="I16" s="163">
        <v>-2691.47</v>
      </c>
      <c r="J16" s="163">
        <v>1624353.4</v>
      </c>
    </row>
    <row r="17" spans="1:10" ht="14.4">
      <c r="A17" s="161" t="s">
        <v>123</v>
      </c>
      <c r="B17" s="159"/>
      <c r="C17" s="159"/>
      <c r="D17" s="159"/>
      <c r="E17" s="159"/>
      <c r="F17" s="159"/>
      <c r="G17" s="159"/>
      <c r="H17" s="159"/>
      <c r="I17" s="165">
        <v>-13123.88</v>
      </c>
      <c r="J17" s="159"/>
    </row>
    <row r="18" spans="1:10" ht="14.4">
      <c r="A18" s="161" t="s">
        <v>100</v>
      </c>
      <c r="B18" s="159"/>
      <c r="C18" s="159"/>
      <c r="D18" s="159"/>
      <c r="E18" s="159"/>
      <c r="F18" s="159"/>
      <c r="G18" s="159"/>
      <c r="H18" s="159"/>
      <c r="I18" s="159"/>
      <c r="J18" s="159"/>
    </row>
    <row r="19" spans="1:10" ht="14.4">
      <c r="A19" s="159"/>
      <c r="B19" s="162" t="s">
        <v>89</v>
      </c>
      <c r="C19" s="159"/>
      <c r="D19" s="159"/>
      <c r="E19" s="159"/>
      <c r="F19" s="159"/>
      <c r="G19" s="159"/>
      <c r="H19" s="159"/>
      <c r="I19" s="159"/>
      <c r="J19" s="163">
        <v>1917466.75</v>
      </c>
    </row>
    <row r="20" spans="1:10" ht="14.4">
      <c r="A20" s="159"/>
      <c r="B20" s="162" t="s">
        <v>250</v>
      </c>
      <c r="C20" s="162" t="s">
        <v>48</v>
      </c>
      <c r="D20" s="162">
        <v>83</v>
      </c>
      <c r="E20" s="162" t="s">
        <v>91</v>
      </c>
      <c r="F20" s="162"/>
      <c r="G20" s="162"/>
      <c r="H20" s="164" t="s">
        <v>49</v>
      </c>
      <c r="I20" s="163">
        <v>69791.740000000005</v>
      </c>
      <c r="J20" s="163">
        <v>1987258.49</v>
      </c>
    </row>
    <row r="21" spans="1:10" ht="14.4">
      <c r="A21" s="159"/>
      <c r="B21" s="162" t="s">
        <v>251</v>
      </c>
      <c r="C21" s="162" t="s">
        <v>48</v>
      </c>
      <c r="D21" s="162">
        <v>84</v>
      </c>
      <c r="E21" s="162" t="s">
        <v>91</v>
      </c>
      <c r="F21" s="162"/>
      <c r="G21" s="162"/>
      <c r="H21" s="164" t="s">
        <v>49</v>
      </c>
      <c r="I21" s="163">
        <v>98298.96</v>
      </c>
      <c r="J21" s="163">
        <v>2085557.45</v>
      </c>
    </row>
    <row r="22" spans="1:10" ht="14.4">
      <c r="A22" s="159"/>
      <c r="B22" s="162" t="s">
        <v>252</v>
      </c>
      <c r="C22" s="162" t="s">
        <v>48</v>
      </c>
      <c r="D22" s="162">
        <v>85</v>
      </c>
      <c r="E22" s="162" t="s">
        <v>91</v>
      </c>
      <c r="F22" s="162"/>
      <c r="G22" s="162"/>
      <c r="H22" s="164" t="s">
        <v>49</v>
      </c>
      <c r="I22" s="163">
        <v>-63698.99</v>
      </c>
      <c r="J22" s="163">
        <v>2021858.46</v>
      </c>
    </row>
    <row r="23" spans="1:10" ht="14.4">
      <c r="A23" s="161" t="s">
        <v>133</v>
      </c>
      <c r="B23" s="159"/>
      <c r="C23" s="159"/>
      <c r="D23" s="159"/>
      <c r="E23" s="159"/>
      <c r="F23" s="159"/>
      <c r="G23" s="159"/>
      <c r="H23" s="159"/>
      <c r="I23" s="165">
        <v>104391.71</v>
      </c>
      <c r="J23" s="159"/>
    </row>
    <row r="24" spans="1:10" ht="14.4">
      <c r="A24" s="161" t="s">
        <v>68</v>
      </c>
      <c r="B24" s="159"/>
      <c r="C24" s="159"/>
      <c r="D24" s="159"/>
      <c r="E24" s="159"/>
      <c r="F24" s="159"/>
      <c r="G24" s="159"/>
      <c r="H24" s="159"/>
      <c r="I24" s="159"/>
      <c r="J24" s="159"/>
    </row>
    <row r="25" spans="1:10" ht="14.4">
      <c r="A25" s="159"/>
      <c r="B25" s="162" t="s">
        <v>89</v>
      </c>
      <c r="C25" s="159"/>
      <c r="D25" s="159"/>
      <c r="E25" s="159"/>
      <c r="F25" s="159"/>
      <c r="G25" s="159"/>
      <c r="H25" s="159"/>
      <c r="I25" s="159"/>
      <c r="J25" s="163">
        <v>350000</v>
      </c>
    </row>
    <row r="26" spans="1:10" ht="14.4">
      <c r="A26" s="159"/>
      <c r="B26" s="162" t="s">
        <v>246</v>
      </c>
      <c r="C26" s="162" t="s">
        <v>67</v>
      </c>
      <c r="D26" s="162"/>
      <c r="E26" s="162" t="s">
        <v>91</v>
      </c>
      <c r="F26" s="162" t="s">
        <v>253</v>
      </c>
      <c r="G26" s="162"/>
      <c r="H26" s="162" t="s">
        <v>73</v>
      </c>
      <c r="I26" s="163">
        <v>286184</v>
      </c>
      <c r="J26" s="163">
        <v>636184</v>
      </c>
    </row>
    <row r="27" spans="1:10" ht="14.4">
      <c r="A27" s="159"/>
      <c r="B27" s="162" t="s">
        <v>246</v>
      </c>
      <c r="C27" s="162" t="s">
        <v>67</v>
      </c>
      <c r="D27" s="162"/>
      <c r="E27" s="162" t="s">
        <v>91</v>
      </c>
      <c r="F27" s="162" t="s">
        <v>254</v>
      </c>
      <c r="G27" s="162"/>
      <c r="H27" s="162" t="s">
        <v>73</v>
      </c>
      <c r="I27" s="163">
        <v>63816</v>
      </c>
      <c r="J27" s="163">
        <v>700000</v>
      </c>
    </row>
    <row r="28" spans="1:10" ht="14.4">
      <c r="A28" s="161" t="s">
        <v>135</v>
      </c>
      <c r="B28" s="159"/>
      <c r="C28" s="159"/>
      <c r="D28" s="159"/>
      <c r="E28" s="159"/>
      <c r="F28" s="159"/>
      <c r="G28" s="159"/>
      <c r="H28" s="159"/>
      <c r="I28" s="165">
        <v>350000</v>
      </c>
      <c r="J28" s="159"/>
    </row>
    <row r="29" spans="1:10" ht="14.4">
      <c r="A29" s="161" t="s">
        <v>136</v>
      </c>
      <c r="B29" s="159"/>
      <c r="C29" s="159"/>
      <c r="D29" s="159"/>
      <c r="E29" s="159"/>
      <c r="F29" s="159"/>
      <c r="G29" s="159"/>
      <c r="H29" s="159"/>
      <c r="I29" s="159"/>
      <c r="J29" s="159"/>
    </row>
    <row r="30" spans="1:10" ht="14.4">
      <c r="A30" s="159"/>
      <c r="B30" s="162" t="s">
        <v>89</v>
      </c>
      <c r="C30" s="159"/>
      <c r="D30" s="159"/>
      <c r="E30" s="159"/>
      <c r="F30" s="159"/>
      <c r="G30" s="159"/>
      <c r="H30" s="159"/>
      <c r="I30" s="159"/>
      <c r="J30" s="163">
        <v>2934461.92</v>
      </c>
    </row>
    <row r="31" spans="1:10" ht="14.4">
      <c r="A31" s="161" t="s">
        <v>137</v>
      </c>
      <c r="B31" s="159"/>
      <c r="C31" s="159"/>
      <c r="D31" s="159"/>
      <c r="E31" s="159"/>
      <c r="F31" s="159"/>
      <c r="G31" s="159"/>
      <c r="H31" s="159"/>
      <c r="I31" s="165"/>
      <c r="J31" s="159"/>
    </row>
    <row r="32" spans="1:10" ht="14.4">
      <c r="A32" s="161" t="s">
        <v>176</v>
      </c>
      <c r="B32" s="159"/>
      <c r="C32" s="159"/>
      <c r="D32" s="159"/>
      <c r="E32" s="159"/>
      <c r="F32" s="159"/>
      <c r="G32" s="159"/>
      <c r="H32" s="159"/>
      <c r="I32" s="159"/>
      <c r="J32" s="159"/>
    </row>
    <row r="33" spans="1:10" ht="14.4">
      <c r="A33" s="159"/>
      <c r="B33" s="162" t="s">
        <v>89</v>
      </c>
      <c r="C33" s="159"/>
      <c r="D33" s="159"/>
      <c r="E33" s="159"/>
      <c r="F33" s="159"/>
      <c r="G33" s="159"/>
      <c r="H33" s="159"/>
      <c r="I33" s="159"/>
      <c r="J33" s="163">
        <v>725629.82</v>
      </c>
    </row>
    <row r="34" spans="1:10" ht="14.4">
      <c r="A34" s="161" t="s">
        <v>187</v>
      </c>
      <c r="B34" s="159"/>
      <c r="C34" s="159"/>
      <c r="D34" s="159"/>
      <c r="E34" s="159"/>
      <c r="F34" s="159"/>
      <c r="G34" s="159"/>
      <c r="H34" s="159"/>
      <c r="I34" s="165"/>
      <c r="J34" s="159"/>
    </row>
    <row r="35" spans="1:10" ht="14.4">
      <c r="A35" s="161" t="s">
        <v>73</v>
      </c>
      <c r="B35" s="159"/>
      <c r="C35" s="159"/>
      <c r="D35" s="159"/>
      <c r="E35" s="159"/>
      <c r="F35" s="159"/>
      <c r="G35" s="159"/>
      <c r="H35" s="159"/>
      <c r="I35" s="159"/>
      <c r="J35" s="159"/>
    </row>
    <row r="36" spans="1:10" ht="14.4">
      <c r="A36" s="159"/>
      <c r="B36" s="162" t="s">
        <v>246</v>
      </c>
      <c r="C36" s="162" t="s">
        <v>67</v>
      </c>
      <c r="D36" s="162"/>
      <c r="E36" s="162" t="s">
        <v>91</v>
      </c>
      <c r="F36" s="162" t="s">
        <v>254</v>
      </c>
      <c r="G36" s="162" t="s">
        <v>255</v>
      </c>
      <c r="H36" s="162" t="s">
        <v>68</v>
      </c>
      <c r="I36" s="163">
        <v>63816</v>
      </c>
      <c r="J36" s="163">
        <v>63816</v>
      </c>
    </row>
    <row r="37" spans="1:10" ht="14.4">
      <c r="A37" s="159"/>
      <c r="B37" s="162" t="s">
        <v>246</v>
      </c>
      <c r="C37" s="162" t="s">
        <v>67</v>
      </c>
      <c r="D37" s="162"/>
      <c r="E37" s="162" t="s">
        <v>91</v>
      </c>
      <c r="F37" s="162" t="s">
        <v>253</v>
      </c>
      <c r="G37" s="162" t="s">
        <v>256</v>
      </c>
      <c r="H37" s="162" t="s">
        <v>68</v>
      </c>
      <c r="I37" s="163">
        <v>286184</v>
      </c>
      <c r="J37" s="163">
        <v>350000</v>
      </c>
    </row>
    <row r="38" spans="1:10" ht="14.4">
      <c r="A38" s="161" t="s">
        <v>257</v>
      </c>
      <c r="B38" s="159"/>
      <c r="C38" s="159"/>
      <c r="D38" s="159"/>
      <c r="E38" s="159"/>
      <c r="F38" s="159"/>
      <c r="G38" s="159"/>
      <c r="H38" s="159"/>
      <c r="I38" s="165">
        <v>350000</v>
      </c>
      <c r="J38" s="159"/>
    </row>
    <row r="39" spans="1:10" ht="14.4">
      <c r="A39" s="161" t="s">
        <v>138</v>
      </c>
      <c r="B39" s="159"/>
      <c r="C39" s="159"/>
      <c r="D39" s="159"/>
      <c r="E39" s="159"/>
      <c r="F39" s="159"/>
      <c r="G39" s="159"/>
      <c r="H39" s="159"/>
      <c r="I39" s="159"/>
      <c r="J39" s="159"/>
    </row>
    <row r="40" spans="1:10" ht="14.4">
      <c r="A40" s="159"/>
      <c r="B40" s="162" t="s">
        <v>189</v>
      </c>
      <c r="C40" s="159"/>
      <c r="D40" s="159"/>
      <c r="E40" s="159"/>
      <c r="F40" s="159"/>
      <c r="G40" s="159"/>
      <c r="H40" s="159"/>
      <c r="I40" s="159"/>
      <c r="J40" s="163">
        <v>-2000</v>
      </c>
    </row>
    <row r="41" spans="1:10" ht="14.4">
      <c r="A41" s="161" t="s">
        <v>139</v>
      </c>
      <c r="B41" s="159"/>
      <c r="C41" s="159"/>
      <c r="D41" s="159"/>
      <c r="E41" s="159"/>
      <c r="F41" s="159"/>
      <c r="G41" s="159"/>
      <c r="H41" s="159"/>
      <c r="I41" s="165" t="s">
        <v>258</v>
      </c>
      <c r="J41" s="159"/>
    </row>
    <row r="42" spans="1:10" ht="14.4">
      <c r="A42" s="161" t="s">
        <v>259</v>
      </c>
      <c r="B42" s="159"/>
      <c r="C42" s="159"/>
      <c r="D42" s="159"/>
      <c r="E42" s="159"/>
      <c r="F42" s="159"/>
      <c r="G42" s="159"/>
      <c r="H42" s="159"/>
      <c r="I42" s="165">
        <v>350000</v>
      </c>
      <c r="J42" s="159"/>
    </row>
    <row r="43" spans="1:10" ht="14.4">
      <c r="A43" s="161" t="s">
        <v>141</v>
      </c>
      <c r="B43" s="159"/>
      <c r="C43" s="159"/>
      <c r="D43" s="159"/>
      <c r="E43" s="159"/>
      <c r="F43" s="159"/>
      <c r="G43" s="159"/>
      <c r="H43" s="159"/>
      <c r="I43" s="159"/>
      <c r="J43" s="159"/>
    </row>
    <row r="44" spans="1:10" ht="14.4">
      <c r="A44" s="161" t="s">
        <v>142</v>
      </c>
      <c r="B44" s="159"/>
      <c r="C44" s="159"/>
      <c r="D44" s="159"/>
      <c r="E44" s="159"/>
      <c r="F44" s="159"/>
      <c r="G44" s="159"/>
      <c r="H44" s="159"/>
      <c r="I44" s="159"/>
      <c r="J44" s="159"/>
    </row>
    <row r="45" spans="1:10" ht="14.4">
      <c r="A45" s="159"/>
      <c r="B45" s="162" t="s">
        <v>189</v>
      </c>
      <c r="C45" s="159"/>
      <c r="D45" s="159"/>
      <c r="E45" s="159"/>
      <c r="F45" s="159"/>
      <c r="G45" s="159"/>
      <c r="H45" s="159"/>
      <c r="I45" s="159"/>
      <c r="J45" s="163">
        <v>750</v>
      </c>
    </row>
    <row r="46" spans="1:10" ht="14.4">
      <c r="A46" s="159"/>
      <c r="B46" s="162" t="s">
        <v>243</v>
      </c>
      <c r="C46" s="162" t="s">
        <v>50</v>
      </c>
      <c r="D46" s="162">
        <v>3372</v>
      </c>
      <c r="E46" s="162" t="s">
        <v>91</v>
      </c>
      <c r="F46" s="162" t="s">
        <v>52</v>
      </c>
      <c r="G46" s="162"/>
      <c r="H46" s="162" t="s">
        <v>51</v>
      </c>
      <c r="I46" s="163">
        <v>600</v>
      </c>
      <c r="J46" s="163">
        <v>1350</v>
      </c>
    </row>
    <row r="47" spans="1:10" ht="14.4">
      <c r="A47" s="159"/>
      <c r="B47" s="162" t="s">
        <v>246</v>
      </c>
      <c r="C47" s="162" t="s">
        <v>50</v>
      </c>
      <c r="D47" s="162">
        <v>3376</v>
      </c>
      <c r="E47" s="162" t="s">
        <v>91</v>
      </c>
      <c r="F47" s="162" t="s">
        <v>52</v>
      </c>
      <c r="G47" s="162"/>
      <c r="H47" s="162" t="s">
        <v>51</v>
      </c>
      <c r="I47" s="163">
        <v>300</v>
      </c>
      <c r="J47" s="163">
        <v>1650</v>
      </c>
    </row>
    <row r="48" spans="1:10" ht="14.4">
      <c r="A48" s="159"/>
      <c r="B48" s="162" t="s">
        <v>248</v>
      </c>
      <c r="C48" s="162" t="s">
        <v>50</v>
      </c>
      <c r="D48" s="162">
        <v>3378</v>
      </c>
      <c r="E48" s="162" t="s">
        <v>91</v>
      </c>
      <c r="F48" s="162" t="s">
        <v>52</v>
      </c>
      <c r="G48" s="162"/>
      <c r="H48" s="162" t="s">
        <v>51</v>
      </c>
      <c r="I48" s="163">
        <v>1540</v>
      </c>
      <c r="J48" s="163">
        <v>3190</v>
      </c>
    </row>
    <row r="49" spans="1:10" ht="14.4">
      <c r="A49" s="161" t="s">
        <v>143</v>
      </c>
      <c r="B49" s="159"/>
      <c r="C49" s="159"/>
      <c r="D49" s="159"/>
      <c r="E49" s="159"/>
      <c r="F49" s="159"/>
      <c r="G49" s="159"/>
      <c r="H49" s="159"/>
      <c r="I49" s="165">
        <v>2440</v>
      </c>
      <c r="J49" s="159"/>
    </row>
    <row r="50" spans="1:10" ht="14.4">
      <c r="A50" s="161" t="s">
        <v>144</v>
      </c>
      <c r="B50" s="159"/>
      <c r="C50" s="159"/>
      <c r="D50" s="159"/>
      <c r="E50" s="159"/>
      <c r="F50" s="159"/>
      <c r="G50" s="159"/>
      <c r="H50" s="159"/>
      <c r="I50" s="159"/>
      <c r="J50" s="159"/>
    </row>
    <row r="51" spans="1:10" ht="14.4">
      <c r="A51" s="159"/>
      <c r="B51" s="162" t="s">
        <v>189</v>
      </c>
      <c r="C51" s="159"/>
      <c r="D51" s="159"/>
      <c r="E51" s="159"/>
      <c r="F51" s="159"/>
      <c r="G51" s="159"/>
      <c r="H51" s="159"/>
      <c r="I51" s="159"/>
      <c r="J51" s="163">
        <v>3702.22</v>
      </c>
    </row>
    <row r="52" spans="1:10" ht="14.4">
      <c r="A52" s="159"/>
      <c r="B52" s="162" t="s">
        <v>243</v>
      </c>
      <c r="C52" s="162" t="s">
        <v>50</v>
      </c>
      <c r="D52" s="162">
        <v>3373</v>
      </c>
      <c r="E52" s="162" t="s">
        <v>91</v>
      </c>
      <c r="F52" s="162" t="s">
        <v>53</v>
      </c>
      <c r="G52" s="162" t="s">
        <v>260</v>
      </c>
      <c r="H52" s="162" t="s">
        <v>51</v>
      </c>
      <c r="I52" s="163">
        <v>1284.6300000000001</v>
      </c>
      <c r="J52" s="163">
        <v>4986.8500000000004</v>
      </c>
    </row>
    <row r="53" spans="1:10" ht="14.4">
      <c r="A53" s="159"/>
      <c r="B53" s="162" t="s">
        <v>248</v>
      </c>
      <c r="C53" s="162" t="s">
        <v>50</v>
      </c>
      <c r="D53" s="162">
        <v>3379</v>
      </c>
      <c r="E53" s="162" t="s">
        <v>91</v>
      </c>
      <c r="F53" s="162" t="s">
        <v>53</v>
      </c>
      <c r="G53" s="162" t="s">
        <v>236</v>
      </c>
      <c r="H53" s="162" t="s">
        <v>51</v>
      </c>
      <c r="I53" s="163">
        <v>982.04</v>
      </c>
      <c r="J53" s="163">
        <v>5968.89</v>
      </c>
    </row>
    <row r="54" spans="1:10" ht="14.4">
      <c r="A54" s="161" t="s">
        <v>149</v>
      </c>
      <c r="B54" s="159"/>
      <c r="C54" s="159"/>
      <c r="D54" s="159"/>
      <c r="E54" s="159"/>
      <c r="F54" s="159"/>
      <c r="G54" s="159"/>
      <c r="H54" s="159"/>
      <c r="I54" s="165">
        <v>2266.67</v>
      </c>
      <c r="J54" s="159"/>
    </row>
    <row r="55" spans="1:10" ht="14.4">
      <c r="A55" s="161" t="s">
        <v>150</v>
      </c>
      <c r="B55" s="159"/>
      <c r="C55" s="159"/>
      <c r="D55" s="159"/>
      <c r="E55" s="159"/>
      <c r="F55" s="159"/>
      <c r="G55" s="159"/>
      <c r="H55" s="159"/>
      <c r="I55" s="159"/>
      <c r="J55" s="159"/>
    </row>
    <row r="56" spans="1:10" ht="14.4">
      <c r="A56" s="159"/>
      <c r="B56" s="162" t="s">
        <v>189</v>
      </c>
      <c r="C56" s="159"/>
      <c r="D56" s="159"/>
      <c r="E56" s="159"/>
      <c r="F56" s="159"/>
      <c r="G56" s="159"/>
      <c r="H56" s="159"/>
      <c r="I56" s="159"/>
      <c r="J56" s="163">
        <v>23994</v>
      </c>
    </row>
    <row r="57" spans="1:10" ht="14.4">
      <c r="A57" s="159"/>
      <c r="B57" s="162" t="s">
        <v>243</v>
      </c>
      <c r="C57" s="162" t="s">
        <v>50</v>
      </c>
      <c r="D57" s="162">
        <v>3371</v>
      </c>
      <c r="E57" s="162" t="s">
        <v>91</v>
      </c>
      <c r="F57" s="162" t="s">
        <v>54</v>
      </c>
      <c r="G57" s="162"/>
      <c r="H57" s="162" t="s">
        <v>51</v>
      </c>
      <c r="I57" s="163">
        <v>2666</v>
      </c>
      <c r="J57" s="163">
        <v>26660</v>
      </c>
    </row>
    <row r="58" spans="1:10" ht="14.4">
      <c r="A58" s="159"/>
      <c r="B58" s="162" t="s">
        <v>246</v>
      </c>
      <c r="C58" s="162" t="s">
        <v>50</v>
      </c>
      <c r="D58" s="162">
        <v>3375</v>
      </c>
      <c r="E58" s="162" t="s">
        <v>91</v>
      </c>
      <c r="F58" s="162" t="s">
        <v>54</v>
      </c>
      <c r="G58" s="162"/>
      <c r="H58" s="162" t="s">
        <v>51</v>
      </c>
      <c r="I58" s="163">
        <v>2666</v>
      </c>
      <c r="J58" s="163">
        <v>29326</v>
      </c>
    </row>
    <row r="59" spans="1:10" ht="14.4">
      <c r="A59" s="159"/>
      <c r="B59" s="162" t="s">
        <v>248</v>
      </c>
      <c r="C59" s="162" t="s">
        <v>50</v>
      </c>
      <c r="D59" s="162">
        <v>3377</v>
      </c>
      <c r="E59" s="162" t="s">
        <v>91</v>
      </c>
      <c r="F59" s="162" t="s">
        <v>54</v>
      </c>
      <c r="G59" s="162"/>
      <c r="H59" s="162" t="s">
        <v>51</v>
      </c>
      <c r="I59" s="163">
        <v>2666</v>
      </c>
      <c r="J59" s="163">
        <v>31992</v>
      </c>
    </row>
    <row r="60" spans="1:10" ht="14.4">
      <c r="A60" s="161" t="s">
        <v>151</v>
      </c>
      <c r="B60" s="159"/>
      <c r="C60" s="159"/>
      <c r="D60" s="159"/>
      <c r="E60" s="159"/>
      <c r="F60" s="159"/>
      <c r="G60" s="159"/>
      <c r="H60" s="159"/>
      <c r="I60" s="165">
        <v>7998</v>
      </c>
      <c r="J60" s="159"/>
    </row>
    <row r="61" spans="1:10" ht="14.4">
      <c r="A61" s="161" t="s">
        <v>152</v>
      </c>
      <c r="B61" s="159"/>
      <c r="C61" s="159"/>
      <c r="D61" s="159"/>
      <c r="E61" s="159"/>
      <c r="F61" s="159"/>
      <c r="G61" s="159"/>
      <c r="H61" s="159"/>
      <c r="I61" s="165">
        <v>12704.67</v>
      </c>
      <c r="J61" s="159"/>
    </row>
    <row r="62" spans="1:10" ht="14.4">
      <c r="A62" s="161" t="s">
        <v>120</v>
      </c>
      <c r="B62" s="159"/>
      <c r="C62" s="159"/>
      <c r="D62" s="159"/>
      <c r="E62" s="159"/>
      <c r="F62" s="159"/>
      <c r="G62" s="159"/>
      <c r="H62" s="159"/>
      <c r="I62" s="159"/>
      <c r="J62" s="159"/>
    </row>
    <row r="63" spans="1:10" ht="14.4">
      <c r="A63" s="159"/>
      <c r="B63" s="162" t="s">
        <v>89</v>
      </c>
      <c r="C63" s="159"/>
      <c r="D63" s="159"/>
      <c r="E63" s="159"/>
      <c r="F63" s="159"/>
      <c r="G63" s="159"/>
      <c r="H63" s="159"/>
      <c r="I63" s="159"/>
      <c r="J63" s="163">
        <v>3500</v>
      </c>
    </row>
    <row r="64" spans="1:10" ht="14.4">
      <c r="A64" s="161" t="s">
        <v>154</v>
      </c>
      <c r="B64" s="159"/>
      <c r="C64" s="159"/>
      <c r="D64" s="159"/>
      <c r="E64" s="159"/>
      <c r="F64" s="159"/>
      <c r="G64" s="159"/>
      <c r="H64" s="159"/>
      <c r="I64" s="165"/>
      <c r="J64" s="159"/>
    </row>
    <row r="65" spans="1:10" ht="14.4">
      <c r="A65" s="161" t="s">
        <v>107</v>
      </c>
      <c r="B65" s="159"/>
      <c r="C65" s="159"/>
      <c r="D65" s="159"/>
      <c r="E65" s="159"/>
      <c r="F65" s="159"/>
      <c r="G65" s="159"/>
      <c r="H65" s="159"/>
      <c r="I65" s="159"/>
      <c r="J65" s="159"/>
    </row>
    <row r="66" spans="1:10" ht="14.4">
      <c r="A66" s="159"/>
      <c r="B66" s="162" t="s">
        <v>89</v>
      </c>
      <c r="C66" s="159"/>
      <c r="D66" s="159"/>
      <c r="E66" s="159"/>
      <c r="F66" s="159"/>
      <c r="G66" s="159"/>
      <c r="H66" s="159"/>
      <c r="I66" s="159"/>
      <c r="J66" s="163">
        <v>2539</v>
      </c>
    </row>
    <row r="67" spans="1:10" ht="14.4">
      <c r="A67" s="161" t="s">
        <v>155</v>
      </c>
      <c r="B67" s="159"/>
      <c r="C67" s="159"/>
      <c r="D67" s="159"/>
      <c r="E67" s="159"/>
      <c r="F67" s="159"/>
      <c r="G67" s="159"/>
      <c r="H67" s="159"/>
      <c r="I67" s="165"/>
      <c r="J67" s="159"/>
    </row>
    <row r="68" spans="1:10" ht="14.4">
      <c r="A68" s="161" t="s">
        <v>156</v>
      </c>
      <c r="B68" s="159"/>
      <c r="C68" s="159"/>
      <c r="D68" s="159"/>
      <c r="E68" s="159"/>
      <c r="F68" s="159"/>
      <c r="G68" s="159"/>
      <c r="H68" s="159"/>
      <c r="I68" s="159"/>
      <c r="J68" s="159"/>
    </row>
    <row r="69" spans="1:10" ht="14.4">
      <c r="A69" s="161" t="s">
        <v>157</v>
      </c>
      <c r="B69" s="159"/>
      <c r="C69" s="159"/>
      <c r="D69" s="159"/>
      <c r="E69" s="159"/>
      <c r="F69" s="159"/>
      <c r="G69" s="159"/>
      <c r="H69" s="159"/>
      <c r="I69" s="159"/>
      <c r="J69" s="159"/>
    </row>
    <row r="70" spans="1:10" ht="14.4">
      <c r="A70" s="159"/>
      <c r="B70" s="162" t="s">
        <v>189</v>
      </c>
      <c r="C70" s="159"/>
      <c r="D70" s="159"/>
      <c r="E70" s="159"/>
      <c r="F70" s="159"/>
      <c r="G70" s="159"/>
      <c r="H70" s="159"/>
      <c r="I70" s="159"/>
      <c r="J70" s="163">
        <v>361.23</v>
      </c>
    </row>
    <row r="71" spans="1:10" ht="14.4">
      <c r="A71" s="159"/>
      <c r="B71" s="162" t="s">
        <v>243</v>
      </c>
      <c r="C71" s="162" t="s">
        <v>50</v>
      </c>
      <c r="D71" s="162">
        <v>3374</v>
      </c>
      <c r="E71" s="162" t="s">
        <v>91</v>
      </c>
      <c r="F71" s="162" t="s">
        <v>178</v>
      </c>
      <c r="G71" s="162"/>
      <c r="H71" s="162" t="s">
        <v>51</v>
      </c>
      <c r="I71" s="163">
        <v>312</v>
      </c>
      <c r="J71" s="163">
        <v>673.23</v>
      </c>
    </row>
    <row r="72" spans="1:10" ht="14.4">
      <c r="A72" s="159"/>
      <c r="B72" s="162" t="s">
        <v>243</v>
      </c>
      <c r="C72" s="162" t="s">
        <v>50</v>
      </c>
      <c r="D72" s="162">
        <v>3371</v>
      </c>
      <c r="E72" s="162" t="s">
        <v>91</v>
      </c>
      <c r="F72" s="162" t="s">
        <v>54</v>
      </c>
      <c r="G72" s="162" t="s">
        <v>56</v>
      </c>
      <c r="H72" s="162" t="s">
        <v>51</v>
      </c>
      <c r="I72" s="163">
        <v>15.48</v>
      </c>
      <c r="J72" s="163">
        <v>688.71</v>
      </c>
    </row>
    <row r="73" spans="1:10" ht="14.4">
      <c r="A73" s="159"/>
      <c r="B73" s="162" t="s">
        <v>243</v>
      </c>
      <c r="C73" s="162" t="s">
        <v>50</v>
      </c>
      <c r="D73" s="162">
        <v>3371</v>
      </c>
      <c r="E73" s="162" t="s">
        <v>91</v>
      </c>
      <c r="F73" s="162" t="s">
        <v>54</v>
      </c>
      <c r="G73" s="162" t="s">
        <v>57</v>
      </c>
      <c r="H73" s="162" t="s">
        <v>51</v>
      </c>
      <c r="I73" s="163">
        <v>9.99</v>
      </c>
      <c r="J73" s="163">
        <v>698.7</v>
      </c>
    </row>
    <row r="74" spans="1:10" ht="14.4">
      <c r="A74" s="159"/>
      <c r="B74" s="162" t="s">
        <v>246</v>
      </c>
      <c r="C74" s="162" t="s">
        <v>50</v>
      </c>
      <c r="D74" s="162">
        <v>3375</v>
      </c>
      <c r="E74" s="162" t="s">
        <v>91</v>
      </c>
      <c r="F74" s="162" t="s">
        <v>54</v>
      </c>
      <c r="G74" s="162" t="s">
        <v>56</v>
      </c>
      <c r="H74" s="162" t="s">
        <v>51</v>
      </c>
      <c r="I74" s="163">
        <v>15.48</v>
      </c>
      <c r="J74" s="163">
        <v>714.18</v>
      </c>
    </row>
    <row r="75" spans="1:10" ht="14.4">
      <c r="A75" s="159"/>
      <c r="B75" s="162" t="s">
        <v>246</v>
      </c>
      <c r="C75" s="162" t="s">
        <v>50</v>
      </c>
      <c r="D75" s="162">
        <v>3375</v>
      </c>
      <c r="E75" s="162" t="s">
        <v>91</v>
      </c>
      <c r="F75" s="162" t="s">
        <v>54</v>
      </c>
      <c r="G75" s="162" t="s">
        <v>57</v>
      </c>
      <c r="H75" s="162" t="s">
        <v>51</v>
      </c>
      <c r="I75" s="163">
        <v>9.99</v>
      </c>
      <c r="J75" s="163">
        <v>724.17</v>
      </c>
    </row>
    <row r="76" spans="1:10" ht="14.4">
      <c r="A76" s="159"/>
      <c r="B76" s="162" t="s">
        <v>248</v>
      </c>
      <c r="C76" s="162" t="s">
        <v>50</v>
      </c>
      <c r="D76" s="162">
        <v>3377</v>
      </c>
      <c r="E76" s="162" t="s">
        <v>91</v>
      </c>
      <c r="F76" s="162" t="s">
        <v>54</v>
      </c>
      <c r="G76" s="162" t="s">
        <v>56</v>
      </c>
      <c r="H76" s="162" t="s">
        <v>51</v>
      </c>
      <c r="I76" s="163">
        <v>15.48</v>
      </c>
      <c r="J76" s="163">
        <v>739.65</v>
      </c>
    </row>
    <row r="77" spans="1:10" ht="14.4">
      <c r="A77" s="159"/>
      <c r="B77" s="162" t="s">
        <v>248</v>
      </c>
      <c r="C77" s="162" t="s">
        <v>50</v>
      </c>
      <c r="D77" s="162">
        <v>3377</v>
      </c>
      <c r="E77" s="162" t="s">
        <v>91</v>
      </c>
      <c r="F77" s="162" t="s">
        <v>54</v>
      </c>
      <c r="G77" s="162" t="s">
        <v>57</v>
      </c>
      <c r="H77" s="162" t="s">
        <v>51</v>
      </c>
      <c r="I77" s="163">
        <v>9.99</v>
      </c>
      <c r="J77" s="163">
        <v>749.64</v>
      </c>
    </row>
    <row r="78" spans="1:10" ht="14.4">
      <c r="A78" s="161" t="s">
        <v>158</v>
      </c>
      <c r="B78" s="159"/>
      <c r="C78" s="159"/>
      <c r="D78" s="159"/>
      <c r="E78" s="159"/>
      <c r="F78" s="159"/>
      <c r="G78" s="159"/>
      <c r="H78" s="159"/>
      <c r="I78" s="165">
        <v>388.41</v>
      </c>
      <c r="J78" s="159"/>
    </row>
    <row r="79" spans="1:10" ht="14.4">
      <c r="A79" s="161" t="s">
        <v>191</v>
      </c>
      <c r="B79" s="159"/>
      <c r="C79" s="159"/>
      <c r="D79" s="159"/>
      <c r="E79" s="159"/>
      <c r="F79" s="159"/>
      <c r="G79" s="159"/>
      <c r="H79" s="159"/>
      <c r="I79" s="159"/>
      <c r="J79" s="159"/>
    </row>
    <row r="80" spans="1:10" ht="14.4">
      <c r="A80" s="159"/>
      <c r="B80" s="162" t="s">
        <v>189</v>
      </c>
      <c r="C80" s="159"/>
      <c r="D80" s="159"/>
      <c r="E80" s="159"/>
      <c r="F80" s="159"/>
      <c r="G80" s="159"/>
      <c r="H80" s="159"/>
      <c r="I80" s="159"/>
      <c r="J80" s="163">
        <v>147.44</v>
      </c>
    </row>
    <row r="81" spans="1:10" ht="14.4">
      <c r="A81" s="161" t="s">
        <v>192</v>
      </c>
      <c r="B81" s="159"/>
      <c r="C81" s="159"/>
      <c r="D81" s="159"/>
      <c r="E81" s="159"/>
      <c r="F81" s="159"/>
      <c r="G81" s="159"/>
      <c r="H81" s="159"/>
      <c r="I81" s="165" t="s">
        <v>258</v>
      </c>
      <c r="J81" s="159"/>
    </row>
    <row r="82" spans="1:10" ht="14.4">
      <c r="A82" s="161" t="s">
        <v>159</v>
      </c>
      <c r="B82" s="159"/>
      <c r="C82" s="159"/>
      <c r="D82" s="159"/>
      <c r="E82" s="159"/>
      <c r="F82" s="159"/>
      <c r="G82" s="159"/>
      <c r="H82" s="159"/>
      <c r="I82" s="159"/>
      <c r="J82" s="159"/>
    </row>
    <row r="83" spans="1:10" ht="14.4">
      <c r="A83" s="159"/>
      <c r="B83" s="162" t="s">
        <v>189</v>
      </c>
      <c r="C83" s="159"/>
      <c r="D83" s="159"/>
      <c r="E83" s="159"/>
      <c r="F83" s="159"/>
      <c r="G83" s="159"/>
      <c r="H83" s="159"/>
      <c r="I83" s="159"/>
      <c r="J83" s="163">
        <v>149.5</v>
      </c>
    </row>
    <row r="84" spans="1:10" ht="14.4">
      <c r="A84" s="159"/>
      <c r="B84" s="162" t="s">
        <v>246</v>
      </c>
      <c r="C84" s="162" t="s">
        <v>50</v>
      </c>
      <c r="D84" s="162">
        <v>3375</v>
      </c>
      <c r="E84" s="162" t="s">
        <v>91</v>
      </c>
      <c r="F84" s="162" t="s">
        <v>54</v>
      </c>
      <c r="G84" s="162" t="s">
        <v>261</v>
      </c>
      <c r="H84" s="162" t="s">
        <v>51</v>
      </c>
      <c r="I84" s="163">
        <v>30.8</v>
      </c>
      <c r="J84" s="163">
        <v>180.3</v>
      </c>
    </row>
    <row r="85" spans="1:10" ht="14.4">
      <c r="A85" s="161" t="s">
        <v>160</v>
      </c>
      <c r="B85" s="159"/>
      <c r="C85" s="159"/>
      <c r="D85" s="159"/>
      <c r="E85" s="159"/>
      <c r="F85" s="159"/>
      <c r="G85" s="159"/>
      <c r="H85" s="159"/>
      <c r="I85" s="165">
        <v>30.8</v>
      </c>
      <c r="J85" s="159"/>
    </row>
    <row r="86" spans="1:10" ht="14.4">
      <c r="A86" s="161" t="s">
        <v>161</v>
      </c>
      <c r="B86" s="159"/>
      <c r="C86" s="159"/>
      <c r="D86" s="159"/>
      <c r="E86" s="159"/>
      <c r="F86" s="159"/>
      <c r="G86" s="159"/>
      <c r="H86" s="159"/>
      <c r="I86" s="165">
        <v>419.21</v>
      </c>
      <c r="J86" s="159"/>
    </row>
    <row r="87" spans="1:10" ht="14.4">
      <c r="A87" s="161" t="s">
        <v>162</v>
      </c>
      <c r="B87" s="159"/>
      <c r="C87" s="159"/>
      <c r="D87" s="159"/>
      <c r="E87" s="159"/>
      <c r="F87" s="159"/>
      <c r="G87" s="159"/>
      <c r="H87" s="159"/>
      <c r="I87" s="159"/>
      <c r="J87" s="159"/>
    </row>
    <row r="88" spans="1:10" ht="14.4">
      <c r="A88" s="161" t="s">
        <v>163</v>
      </c>
      <c r="B88" s="159"/>
      <c r="C88" s="159"/>
      <c r="D88" s="159"/>
      <c r="E88" s="159"/>
      <c r="F88" s="159"/>
      <c r="G88" s="159"/>
      <c r="H88" s="159"/>
      <c r="I88" s="159"/>
      <c r="J88" s="159"/>
    </row>
    <row r="89" spans="1:10" ht="14.4">
      <c r="A89" s="159"/>
      <c r="B89" s="162" t="s">
        <v>189</v>
      </c>
      <c r="C89" s="159"/>
      <c r="D89" s="159"/>
      <c r="E89" s="159"/>
      <c r="F89" s="159"/>
      <c r="G89" s="159"/>
      <c r="H89" s="159"/>
      <c r="I89" s="159"/>
      <c r="J89" s="163">
        <v>-437863.14</v>
      </c>
    </row>
    <row r="90" spans="1:10" ht="14.4">
      <c r="A90" s="159"/>
      <c r="B90" s="162" t="s">
        <v>250</v>
      </c>
      <c r="C90" s="162" t="s">
        <v>48</v>
      </c>
      <c r="D90" s="162">
        <v>83</v>
      </c>
      <c r="E90" s="162" t="s">
        <v>91</v>
      </c>
      <c r="F90" s="162"/>
      <c r="G90" s="162"/>
      <c r="H90" s="164" t="s">
        <v>49</v>
      </c>
      <c r="I90" s="163">
        <v>72495.08</v>
      </c>
      <c r="J90" s="163">
        <v>-365368.06</v>
      </c>
    </row>
    <row r="91" spans="1:10" ht="14.4">
      <c r="A91" s="159"/>
      <c r="B91" s="162" t="s">
        <v>251</v>
      </c>
      <c r="C91" s="162" t="s">
        <v>48</v>
      </c>
      <c r="D91" s="162">
        <v>84</v>
      </c>
      <c r="E91" s="162" t="s">
        <v>91</v>
      </c>
      <c r="F91" s="162"/>
      <c r="G91" s="162"/>
      <c r="H91" s="164" t="s">
        <v>49</v>
      </c>
      <c r="I91" s="163">
        <v>96095.83</v>
      </c>
      <c r="J91" s="163">
        <v>-269272.23</v>
      </c>
    </row>
    <row r="92" spans="1:10" ht="14.4">
      <c r="A92" s="159"/>
      <c r="B92" s="162" t="s">
        <v>252</v>
      </c>
      <c r="C92" s="162" t="s">
        <v>48</v>
      </c>
      <c r="D92" s="162">
        <v>85</v>
      </c>
      <c r="E92" s="162" t="s">
        <v>91</v>
      </c>
      <c r="F92" s="162"/>
      <c r="G92" s="162"/>
      <c r="H92" s="164" t="s">
        <v>49</v>
      </c>
      <c r="I92" s="163">
        <v>-76041.91</v>
      </c>
      <c r="J92" s="163">
        <v>-345314.14</v>
      </c>
    </row>
    <row r="93" spans="1:10" ht="14.4">
      <c r="A93" s="161" t="s">
        <v>164</v>
      </c>
      <c r="B93" s="159"/>
      <c r="C93" s="159"/>
      <c r="D93" s="159"/>
      <c r="E93" s="159"/>
      <c r="F93" s="159"/>
      <c r="G93" s="159"/>
      <c r="H93" s="159"/>
      <c r="I93" s="165">
        <v>92549</v>
      </c>
      <c r="J93" s="159"/>
    </row>
    <row r="94" spans="1:10" ht="14.4">
      <c r="A94" s="161" t="s">
        <v>165</v>
      </c>
      <c r="B94" s="159"/>
      <c r="C94" s="159"/>
      <c r="D94" s="159"/>
      <c r="E94" s="159"/>
      <c r="F94" s="159"/>
      <c r="G94" s="159"/>
      <c r="H94" s="159"/>
      <c r="I94" s="159"/>
      <c r="J94" s="159"/>
    </row>
    <row r="95" spans="1:10" ht="14.4">
      <c r="A95" s="159"/>
      <c r="B95" s="162" t="s">
        <v>189</v>
      </c>
      <c r="C95" s="159"/>
      <c r="D95" s="159"/>
      <c r="E95" s="159"/>
      <c r="F95" s="159"/>
      <c r="G95" s="159"/>
      <c r="H95" s="159"/>
      <c r="I95" s="159"/>
      <c r="J95" s="163">
        <v>-1181.05</v>
      </c>
    </row>
    <row r="96" spans="1:10" ht="14.4">
      <c r="A96" s="161" t="s">
        <v>166</v>
      </c>
      <c r="B96" s="159"/>
      <c r="C96" s="159"/>
      <c r="D96" s="159"/>
      <c r="E96" s="159"/>
      <c r="F96" s="159"/>
      <c r="G96" s="159"/>
      <c r="H96" s="159"/>
      <c r="I96" s="165" t="s">
        <v>258</v>
      </c>
      <c r="J96" s="159"/>
    </row>
    <row r="97" spans="1:10" ht="14.4">
      <c r="A97" s="161" t="s">
        <v>167</v>
      </c>
      <c r="B97" s="159"/>
      <c r="C97" s="159"/>
      <c r="D97" s="159"/>
      <c r="E97" s="159"/>
      <c r="F97" s="159"/>
      <c r="G97" s="159"/>
      <c r="H97" s="159"/>
      <c r="I97" s="159"/>
      <c r="J97" s="159"/>
    </row>
    <row r="98" spans="1:10" ht="14.4">
      <c r="A98" s="159"/>
      <c r="B98" s="162" t="s">
        <v>189</v>
      </c>
      <c r="C98" s="159"/>
      <c r="D98" s="159"/>
      <c r="E98" s="159"/>
      <c r="F98" s="159"/>
      <c r="G98" s="159"/>
      <c r="H98" s="159"/>
      <c r="I98" s="159"/>
      <c r="J98" s="163">
        <v>3.63</v>
      </c>
    </row>
    <row r="99" spans="1:10" ht="14.4">
      <c r="A99" s="159"/>
      <c r="B99" s="162" t="s">
        <v>250</v>
      </c>
      <c r="C99" s="162" t="s">
        <v>48</v>
      </c>
      <c r="D99" s="162">
        <v>83</v>
      </c>
      <c r="E99" s="162" t="s">
        <v>91</v>
      </c>
      <c r="F99" s="162"/>
      <c r="G99" s="162"/>
      <c r="H99" s="164" t="s">
        <v>49</v>
      </c>
      <c r="I99" s="163">
        <v>3.32</v>
      </c>
      <c r="J99" s="163">
        <v>6.95</v>
      </c>
    </row>
    <row r="100" spans="1:10" ht="14.4">
      <c r="A100" s="159"/>
      <c r="B100" s="162" t="s">
        <v>251</v>
      </c>
      <c r="C100" s="162" t="s">
        <v>48</v>
      </c>
      <c r="D100" s="162">
        <v>84</v>
      </c>
      <c r="E100" s="162" t="s">
        <v>91</v>
      </c>
      <c r="F100" s="162"/>
      <c r="G100" s="162"/>
      <c r="H100" s="164" t="s">
        <v>49</v>
      </c>
      <c r="I100" s="163">
        <v>3.45</v>
      </c>
      <c r="J100" s="163">
        <v>10.4</v>
      </c>
    </row>
    <row r="101" spans="1:10" ht="14.4">
      <c r="A101" s="159"/>
      <c r="B101" s="162" t="s">
        <v>252</v>
      </c>
      <c r="C101" s="162" t="s">
        <v>48</v>
      </c>
      <c r="D101" s="162">
        <v>85</v>
      </c>
      <c r="E101" s="162" t="s">
        <v>91</v>
      </c>
      <c r="F101" s="162"/>
      <c r="G101" s="162"/>
      <c r="H101" s="164" t="s">
        <v>49</v>
      </c>
      <c r="I101" s="163">
        <v>2.72</v>
      </c>
      <c r="J101" s="163">
        <v>13.12</v>
      </c>
    </row>
    <row r="102" spans="1:10" ht="14.4">
      <c r="A102" s="161" t="s">
        <v>168</v>
      </c>
      <c r="B102" s="159"/>
      <c r="C102" s="159"/>
      <c r="D102" s="159"/>
      <c r="E102" s="159"/>
      <c r="F102" s="159"/>
      <c r="G102" s="159"/>
      <c r="H102" s="159"/>
      <c r="I102" s="165">
        <v>9.49</v>
      </c>
      <c r="J102" s="159"/>
    </row>
    <row r="103" spans="1:10" ht="14.4">
      <c r="A103" s="161" t="s">
        <v>169</v>
      </c>
      <c r="B103" s="159"/>
      <c r="C103" s="159"/>
      <c r="D103" s="159"/>
      <c r="E103" s="159"/>
      <c r="F103" s="159"/>
      <c r="G103" s="159"/>
      <c r="H103" s="159"/>
      <c r="I103" s="159"/>
      <c r="J103" s="159"/>
    </row>
    <row r="104" spans="1:10" ht="14.4">
      <c r="A104" s="159"/>
      <c r="B104" s="162" t="s">
        <v>189</v>
      </c>
      <c r="C104" s="159"/>
      <c r="D104" s="159"/>
      <c r="E104" s="159"/>
      <c r="F104" s="159"/>
      <c r="G104" s="159"/>
      <c r="H104" s="159"/>
      <c r="I104" s="159"/>
      <c r="J104" s="163">
        <v>30424.61</v>
      </c>
    </row>
    <row r="105" spans="1:10" ht="14.4">
      <c r="A105" s="159"/>
      <c r="B105" s="162" t="s">
        <v>250</v>
      </c>
      <c r="C105" s="162" t="s">
        <v>48</v>
      </c>
      <c r="D105" s="162">
        <v>83</v>
      </c>
      <c r="E105" s="162" t="s">
        <v>91</v>
      </c>
      <c r="F105" s="162"/>
      <c r="G105" s="162"/>
      <c r="H105" s="164" t="s">
        <v>49</v>
      </c>
      <c r="I105" s="163">
        <v>1600.15</v>
      </c>
      <c r="J105" s="163">
        <v>32024.76</v>
      </c>
    </row>
    <row r="106" spans="1:10" ht="14.4">
      <c r="A106" s="159"/>
      <c r="B106" s="162" t="s">
        <v>251</v>
      </c>
      <c r="C106" s="162" t="s">
        <v>48</v>
      </c>
      <c r="D106" s="162">
        <v>84</v>
      </c>
      <c r="E106" s="162" t="s">
        <v>91</v>
      </c>
      <c r="F106" s="162"/>
      <c r="G106" s="162"/>
      <c r="H106" s="164" t="s">
        <v>49</v>
      </c>
      <c r="I106" s="163">
        <v>2199.6799999999998</v>
      </c>
      <c r="J106" s="163">
        <v>34224.44</v>
      </c>
    </row>
    <row r="107" spans="1:10" ht="14.4">
      <c r="A107" s="159"/>
      <c r="B107" s="162" t="s">
        <v>252</v>
      </c>
      <c r="C107" s="162" t="s">
        <v>48</v>
      </c>
      <c r="D107" s="162">
        <v>85</v>
      </c>
      <c r="E107" s="162" t="s">
        <v>91</v>
      </c>
      <c r="F107" s="162"/>
      <c r="G107" s="162"/>
      <c r="H107" s="164" t="s">
        <v>49</v>
      </c>
      <c r="I107" s="163">
        <v>12340.2</v>
      </c>
      <c r="J107" s="163">
        <v>46564.639999999999</v>
      </c>
    </row>
    <row r="108" spans="1:10" ht="14.4">
      <c r="A108" s="161" t="s">
        <v>170</v>
      </c>
      <c r="B108" s="159"/>
      <c r="C108" s="159"/>
      <c r="D108" s="159"/>
      <c r="E108" s="159"/>
      <c r="F108" s="159"/>
      <c r="G108" s="159"/>
      <c r="H108" s="159"/>
      <c r="I108" s="165">
        <v>16140.03</v>
      </c>
      <c r="J108" s="159"/>
    </row>
    <row r="109" spans="1:10" ht="14.4">
      <c r="A109" s="161" t="s">
        <v>171</v>
      </c>
      <c r="B109" s="159"/>
      <c r="C109" s="159"/>
      <c r="D109" s="159"/>
      <c r="E109" s="159"/>
      <c r="F109" s="159"/>
      <c r="G109" s="159"/>
      <c r="H109" s="159"/>
      <c r="I109" s="159"/>
      <c r="J109" s="159"/>
    </row>
    <row r="110" spans="1:10" ht="14.4">
      <c r="A110" s="159"/>
      <c r="B110" s="162" t="s">
        <v>189</v>
      </c>
      <c r="C110" s="159"/>
      <c r="D110" s="159"/>
      <c r="E110" s="159"/>
      <c r="F110" s="159"/>
      <c r="G110" s="159"/>
      <c r="H110" s="159"/>
      <c r="I110" s="159"/>
      <c r="J110" s="163">
        <v>-13388.37</v>
      </c>
    </row>
    <row r="111" spans="1:10" ht="14.4">
      <c r="A111" s="159"/>
      <c r="B111" s="162" t="s">
        <v>250</v>
      </c>
      <c r="C111" s="162" t="s">
        <v>48</v>
      </c>
      <c r="D111" s="162">
        <v>83</v>
      </c>
      <c r="E111" s="162" t="s">
        <v>91</v>
      </c>
      <c r="F111" s="162"/>
      <c r="G111" s="162"/>
      <c r="H111" s="164" t="s">
        <v>49</v>
      </c>
      <c r="I111" s="163">
        <v>-4306.8100000000004</v>
      </c>
      <c r="J111" s="163">
        <v>-17695.18</v>
      </c>
    </row>
    <row r="112" spans="1:10" ht="14.4">
      <c r="A112" s="161" t="s">
        <v>172</v>
      </c>
      <c r="B112" s="159"/>
      <c r="C112" s="159"/>
      <c r="D112" s="159"/>
      <c r="E112" s="159"/>
      <c r="F112" s="159"/>
      <c r="G112" s="159"/>
      <c r="H112" s="159"/>
      <c r="I112" s="165">
        <v>-4306.8100000000004</v>
      </c>
      <c r="J112" s="159"/>
    </row>
    <row r="113" spans="1:10" ht="14.4">
      <c r="A113" s="161" t="s">
        <v>173</v>
      </c>
      <c r="B113" s="159"/>
      <c r="C113" s="159"/>
      <c r="D113" s="159"/>
      <c r="E113" s="159"/>
      <c r="F113" s="159"/>
      <c r="G113" s="159"/>
      <c r="H113" s="159"/>
      <c r="I113" s="165">
        <v>104391.71</v>
      </c>
      <c r="J113" s="159"/>
    </row>
    <row r="116" spans="1:10" ht="14.4">
      <c r="A116" s="181" t="s">
        <v>262</v>
      </c>
      <c r="B116" s="182"/>
      <c r="C116" s="182"/>
      <c r="D116" s="182"/>
      <c r="E116" s="182"/>
      <c r="F116" s="182"/>
      <c r="G116" s="182"/>
      <c r="H116" s="182"/>
      <c r="I116" s="182"/>
      <c r="J116" s="182"/>
    </row>
  </sheetData>
  <mergeCells count="4">
    <mergeCell ref="A116:J116"/>
    <mergeCell ref="A1:J1"/>
    <mergeCell ref="A2:J2"/>
    <mergeCell ref="A3:J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47BAE7-D8C4-4485-844E-1097D039F892}">
  <sheetPr codeName="Sheet5">
    <pageSetUpPr fitToPage="1"/>
  </sheetPr>
  <dimension ref="A1:K43"/>
  <sheetViews>
    <sheetView zoomScale="110" zoomScaleNormal="110" workbookViewId="0">
      <selection activeCell="I53" sqref="I53"/>
    </sheetView>
  </sheetViews>
  <sheetFormatPr defaultColWidth="11.44140625" defaultRowHeight="13.2"/>
  <cols>
    <col min="1" max="1" width="55.109375" bestFit="1" customWidth="1"/>
    <col min="3" max="3" width="21.88671875" customWidth="1"/>
    <col min="4" max="4" width="16.44140625" customWidth="1"/>
    <col min="5" max="5" width="22.6640625" customWidth="1"/>
    <col min="6" max="6" width="22.88671875" customWidth="1"/>
    <col min="8" max="9" width="14.33203125" bestFit="1" customWidth="1"/>
    <col min="11" max="11" width="16.88671875" bestFit="1" customWidth="1"/>
    <col min="12" max="12" width="11.44140625" customWidth="1"/>
  </cols>
  <sheetData>
    <row r="1" spans="1:1">
      <c r="A1" t="s">
        <v>21</v>
      </c>
    </row>
    <row r="2" spans="1:1">
      <c r="A2" s="73" t="s">
        <v>74</v>
      </c>
    </row>
    <row r="4" spans="1:1">
      <c r="A4" t="s">
        <v>22</v>
      </c>
    </row>
    <row r="5" spans="1:1">
      <c r="A5" t="s">
        <v>60</v>
      </c>
    </row>
    <row r="6" spans="1:1">
      <c r="A6" s="57"/>
    </row>
    <row r="8" spans="1:1">
      <c r="A8" s="57"/>
    </row>
    <row r="9" spans="1:1">
      <c r="A9" t="s">
        <v>19</v>
      </c>
    </row>
    <row r="10" spans="1:1">
      <c r="A10" t="s">
        <v>20</v>
      </c>
    </row>
    <row r="11" spans="1:1">
      <c r="A11" s="57" t="s">
        <v>205</v>
      </c>
    </row>
    <row r="27" spans="4:5">
      <c r="E27" s="73" t="s">
        <v>27</v>
      </c>
    </row>
    <row r="28" spans="4:5">
      <c r="D28" s="73" t="s">
        <v>36</v>
      </c>
      <c r="E28" s="149">
        <f>+K38</f>
        <v>0.26059152677857716</v>
      </c>
    </row>
    <row r="29" spans="4:5">
      <c r="D29" s="73" t="s">
        <v>37</v>
      </c>
      <c r="E29" s="108">
        <v>0.106</v>
      </c>
    </row>
    <row r="30" spans="4:5">
      <c r="E30" s="74"/>
    </row>
    <row r="31" spans="4:5">
      <c r="D31" s="73" t="s">
        <v>28</v>
      </c>
      <c r="E31" s="74">
        <f>+(E29+E28)/2</f>
        <v>0.18329576338928857</v>
      </c>
    </row>
    <row r="35" spans="4:11">
      <c r="D35" s="72" t="s">
        <v>76</v>
      </c>
      <c r="H35" s="73"/>
      <c r="I35" s="143"/>
      <c r="J35" s="144" t="s">
        <v>75</v>
      </c>
      <c r="K35" s="106">
        <v>125100000</v>
      </c>
    </row>
    <row r="36" spans="4:11">
      <c r="H36" s="73"/>
      <c r="I36" s="143"/>
      <c r="J36" s="145" t="s">
        <v>204</v>
      </c>
      <c r="K36" s="107">
        <v>157700000</v>
      </c>
    </row>
    <row r="37" spans="4:11">
      <c r="H37" s="142"/>
      <c r="I37" s="143"/>
      <c r="J37" s="145"/>
      <c r="K37" s="106">
        <f>+K36-K35</f>
        <v>32600000</v>
      </c>
    </row>
    <row r="38" spans="4:11">
      <c r="F38" s="109"/>
      <c r="I38" s="141"/>
      <c r="J38" s="145"/>
      <c r="K38" s="140">
        <f>+K37/K35</f>
        <v>0.26059152677857716</v>
      </c>
    </row>
    <row r="39" spans="4:11">
      <c r="J39" s="145"/>
      <c r="K39" s="139"/>
    </row>
    <row r="40" spans="4:11">
      <c r="E40" s="109"/>
      <c r="J40" s="106"/>
      <c r="K40" s="106"/>
    </row>
    <row r="41" spans="4:11">
      <c r="I41" s="106"/>
      <c r="J41" s="106"/>
      <c r="K41" s="106"/>
    </row>
    <row r="42" spans="4:11">
      <c r="H42" s="106"/>
      <c r="I42" s="106"/>
      <c r="J42" s="106"/>
      <c r="K42" s="106"/>
    </row>
    <row r="43" spans="4:11">
      <c r="H43" s="106"/>
      <c r="I43" s="106"/>
      <c r="J43" s="106"/>
      <c r="K43" s="106"/>
    </row>
  </sheetData>
  <pageMargins left="0.7" right="0.7" top="0.75" bottom="0.75" header="0.3" footer="0.3"/>
  <pageSetup scale="48" orientation="landscape" horizontalDpi="4294967292" verticalDpi="4294967292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F2BD4E-3445-496A-8F54-662F1B4B679A}">
  <dimension ref="A1:U39"/>
  <sheetViews>
    <sheetView workbookViewId="0">
      <selection activeCell="K25" sqref="K25"/>
    </sheetView>
  </sheetViews>
  <sheetFormatPr defaultRowHeight="13.2"/>
  <cols>
    <col min="10" max="10" width="13.33203125" customWidth="1"/>
    <col min="11" max="11" width="17.5546875" customWidth="1"/>
    <col min="21" max="21" width="15" bestFit="1" customWidth="1"/>
  </cols>
  <sheetData>
    <row r="1" spans="1:1">
      <c r="A1" t="s">
        <v>21</v>
      </c>
    </row>
    <row r="2" spans="1:1">
      <c r="A2" s="73" t="s">
        <v>268</v>
      </c>
    </row>
    <row r="4" spans="1:1">
      <c r="A4" t="s">
        <v>22</v>
      </c>
    </row>
    <row r="5" spans="1:1">
      <c r="A5" t="s">
        <v>272</v>
      </c>
    </row>
    <row r="6" spans="1:1">
      <c r="A6" s="57" t="s">
        <v>269</v>
      </c>
    </row>
    <row r="8" spans="1:1">
      <c r="A8" s="57"/>
    </row>
    <row r="9" spans="1:1">
      <c r="A9" t="s">
        <v>19</v>
      </c>
    </row>
    <row r="10" spans="1:1">
      <c r="A10" t="s">
        <v>20</v>
      </c>
    </row>
    <row r="11" spans="1:1">
      <c r="A11" s="57" t="s">
        <v>271</v>
      </c>
    </row>
    <row r="12" spans="1:1">
      <c r="A12" s="57" t="s">
        <v>273</v>
      </c>
    </row>
    <row r="21" spans="10:11">
      <c r="K21" s="73" t="s">
        <v>27</v>
      </c>
    </row>
    <row r="22" spans="10:11">
      <c r="J22" s="73" t="s">
        <v>36</v>
      </c>
      <c r="K22" s="149">
        <f>+U39</f>
        <v>-0.33870967741935482</v>
      </c>
    </row>
    <row r="23" spans="10:11">
      <c r="J23" s="73" t="s">
        <v>37</v>
      </c>
      <c r="K23" s="108">
        <v>-0.372</v>
      </c>
    </row>
    <row r="25" spans="10:11">
      <c r="J25" s="73" t="s">
        <v>28</v>
      </c>
      <c r="K25" s="74">
        <f>(K22+K23)/2</f>
        <v>-0.35535483870967743</v>
      </c>
    </row>
    <row r="30" spans="10:11">
      <c r="J30" s="72" t="s">
        <v>274</v>
      </c>
    </row>
    <row r="36" spans="20:21">
      <c r="T36" s="145" t="s">
        <v>204</v>
      </c>
      <c r="U36" s="106">
        <v>173600000</v>
      </c>
    </row>
    <row r="37" spans="20:21">
      <c r="T37" s="145" t="s">
        <v>270</v>
      </c>
      <c r="U37" s="107">
        <v>114800000</v>
      </c>
    </row>
    <row r="38" spans="20:21">
      <c r="U38" s="166">
        <f>+U37-U36</f>
        <v>-58800000</v>
      </c>
    </row>
    <row r="39" spans="20:21">
      <c r="U39" s="172">
        <f>+U38/U36</f>
        <v>-0.33870967741935482</v>
      </c>
    </row>
  </sheetData>
  <hyperlinks>
    <hyperlink ref="A12" r:id="rId1" xr:uid="{7C3EB428-1071-46D2-A542-740AF0B4ED8C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2</vt:i4>
      </vt:variant>
    </vt:vector>
  </HeadingPairs>
  <TitlesOfParts>
    <vt:vector size="10" baseType="lpstr">
      <vt:lpstr>Budget 2024</vt:lpstr>
      <vt:lpstr>Historical Financials + Budgets</vt:lpstr>
      <vt:lpstr>1.1.22 - 9.23.22 GL</vt:lpstr>
      <vt:lpstr>10.1.21 - 12.31.21 GL</vt:lpstr>
      <vt:lpstr>1.1.23 - 9.25.23 GL</vt:lpstr>
      <vt:lpstr>10.1.22 - 12.31.22 GL</vt:lpstr>
      <vt:lpstr> Notes</vt:lpstr>
      <vt:lpstr>2024 Budget Notes</vt:lpstr>
      <vt:lpstr>'Budget 2024'!Print_Area</vt:lpstr>
      <vt:lpstr>'Historical Financials + Budgets'!Print_Area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glCompareRevExp</dc:title>
  <dc:creator>Crystal Decisions</dc:creator>
  <dc:description>Powered by Crystal</dc:description>
  <cp:lastModifiedBy>Dusti Reimer</cp:lastModifiedBy>
  <cp:lastPrinted>2022-11-11T21:25:34Z</cp:lastPrinted>
  <dcterms:created xsi:type="dcterms:W3CDTF">2010-09-09T20:53:14Z</dcterms:created>
  <dcterms:modified xsi:type="dcterms:W3CDTF">2023-10-25T21:00:22Z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">
    <vt:i4>20</vt:i4>
  </property>
  <property fmtid="{D5CDD505-2E9C-101B-9397-08002B2CF9AE}" pid="3" name="tabName">
    <vt:lpwstr>Administration</vt:lpwstr>
  </property>
  <property fmtid="{D5CDD505-2E9C-101B-9397-08002B2CF9AE}" pid="4" name="tabIndex">
    <vt:lpwstr>00</vt:lpwstr>
  </property>
  <property fmtid="{D5CDD505-2E9C-101B-9397-08002B2CF9AE}" pid="5" name="workpaperIndex">
    <vt:lpwstr>OO.03</vt:lpwstr>
  </property>
</Properties>
</file>